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1" activeTab="0"/>
  </bookViews>
  <sheets>
    <sheet name="HK-D01" sheetId="1" r:id="rId1"/>
  </sheets>
  <definedNames>
    <definedName name="_xlnm.Print_Area" localSheetId="0">'HK-D01'!$A$1:$J$46</definedName>
    <definedName name="_AvO2_1">'HK-D01'!$C$12</definedName>
    <definedName name="_AvO2">#REF!</definedName>
    <definedName name="Ambient_1">'HK-D01'!$J$7</definedName>
    <definedName name="Ambient">#REF!</definedName>
    <definedName name="AmbientTemperature_1">'HK-D01'!#REF!</definedName>
    <definedName name="AmbientTemperature">#REF!</definedName>
    <definedName name="AvCO">'HK-D01'!$C$13</definedName>
    <definedName name="AvMoisture_1">'HK-D01'!$C$4</definedName>
    <definedName name="AvMoisture">#REF!</definedName>
    <definedName name="BoilWaterLoss_1">'HK-D01'!$C$17</definedName>
    <definedName name="BoilWaterLoss">#REF!</definedName>
    <definedName name="BurnRateDry_1">'HK-D01'!$C$16</definedName>
    <definedName name="BurnRateDry">#REF!</definedName>
    <definedName name="Catch_1">'HK-D01'!$D$38</definedName>
    <definedName name="Catch">#REF!</definedName>
    <definedName name="Circumf">'HK-D01'!$H$30:$H$41</definedName>
    <definedName name="CleanControl_1">'HK-D01'!$B$35:$B$36</definedName>
    <definedName name="CleanControl">#REF!</definedName>
    <definedName name="CM_1">'HK-D01'!$H$12:$H$20</definedName>
    <definedName name="CM">#REF!</definedName>
    <definedName name="CO_1">'HK-D01'!$H$12:$H$20</definedName>
    <definedName name="CO">#REF!</definedName>
    <definedName name="COLoss_1">'HK-D01'!$C$18</definedName>
    <definedName name="COLoss">#REF!</definedName>
    <definedName name="CombEfficPartic_1">'HK-D01'!#REF!</definedName>
    <definedName name="CombEfficPartic">#REF!</definedName>
    <definedName name="CombustEffic_1">'HK-D01'!$C$22</definedName>
    <definedName name="CombustEffic">#REF!</definedName>
    <definedName name="COO_1">'HK-D01'!$I$12:$I$20</definedName>
    <definedName name="COO">#REF!</definedName>
    <definedName name="DATE_1">'HK-D01'!$J$6</definedName>
    <definedName name="DATE">#REF!</definedName>
    <definedName name="Density_1">'HK-D01'!#REF!</definedName>
    <definedName name="Density">#REF!</definedName>
    <definedName name="DilutionFactor_1">'HK-D01'!$C$15</definedName>
    <definedName name="DilutionFactor">#REF!</definedName>
    <definedName name="DirtyControl_1">'HK-D01'!$C$35:$C$36</definedName>
    <definedName name="DirtyControl">#REF!</definedName>
    <definedName name="DryGasLoss_1">'HK-D01'!$C$20</definedName>
    <definedName name="DryGasLoss">#REF!</definedName>
    <definedName name="FiltClean_1">'HK-D01'!$B$29:$B$34</definedName>
    <definedName name="FiltClean">#REF!</definedName>
    <definedName name="FiltDirty_1">'HK-D01'!$C$29:$C$34</definedName>
    <definedName name="FiltDirty">#REF!</definedName>
    <definedName name="FuelConfig_1">'HK-D01'!#REF!</definedName>
    <definedName name="FuelConfig">#REF!</definedName>
    <definedName name="FuelType">'HK-D01'!$G$16</definedName>
    <definedName name="g_kgCondar_1">'HK-D01'!$C$29</definedName>
    <definedName name="g_kgCondar">#REF!</definedName>
    <definedName name="gmKgCO_1">'HK-D01'!$C$25</definedName>
    <definedName name="gmKgCO">#REF!</definedName>
    <definedName name="gmKgCondar_1">'HK-D01'!$C$24</definedName>
    <definedName name="gmKgCondar">#REF!</definedName>
    <definedName name="gmKgM7_1">'HK-D01'!#REF!</definedName>
    <definedName name="gmKgM7">#REF!</definedName>
    <definedName name="HCLoss_1">'HK-D01'!$C$19</definedName>
    <definedName name="HCLoss">#REF!</definedName>
    <definedName name="HTransEffic_1">'HK-D01'!$C$23</definedName>
    <definedName name="HTransEffic">#REF!</definedName>
    <definedName name="KindlingWeight_1">'HK-D01'!$G$18</definedName>
    <definedName name="KindlingWeight">#REF!</definedName>
    <definedName name="Length">'HK-D01'!$I$24:$I$41</definedName>
    <definedName name="Moist_1">'HK-D01'!$C$4</definedName>
    <definedName name="Moist">#REF!</definedName>
    <definedName name="Moisture_1">'HK-D01'!$G$23:$G$42</definedName>
    <definedName name="Moisture">#REF!</definedName>
    <definedName name="NumberOfPieces_1">'HK-D01'!$C$7</definedName>
    <definedName name="NumberOfPieces">#REF!</definedName>
    <definedName name="O2T">#REF!</definedName>
    <definedName name="Ocalc_1">'HK-D01'!$G$13:$G$20</definedName>
    <definedName name="Ocalc">#REF!</definedName>
    <definedName name="Odiff_1">'HK-D01'!$F$21:$G$41</definedName>
    <definedName name="Odiff">#REF!</definedName>
    <definedName name="OO">#REF!</definedName>
    <definedName name="Oxy_1">'HK-D01'!#REF!</definedName>
    <definedName name="Oxy">#REF!</definedName>
    <definedName name="PcNum_1">'HK-D01'!$E$23:$E$31</definedName>
    <definedName name="PcNum">#REF!</definedName>
    <definedName name="PcWt">'HK-D01'!$F$23:$F$42</definedName>
    <definedName name="ppm_CO">'HK-D01'!$G$12</definedName>
    <definedName name="RLength_1">'HK-D01'!#REF!</definedName>
    <definedName name="RLength">#REF!</definedName>
    <definedName name="RunLength_1">'HK-D01'!$C$10</definedName>
    <definedName name="RunLength">#REF!</definedName>
    <definedName name="RunNumber_1">'HK-D01'!#REF!</definedName>
    <definedName name="RunNumber">#REF!</definedName>
    <definedName name="SCRATCH_1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_1">'HK-D01'!$C$14</definedName>
    <definedName name="StackTempFactor">#REF!</definedName>
    <definedName name="StartTime_1">'HK-D01'!$I$12</definedName>
    <definedName name="StartTime">#REF!</definedName>
    <definedName name="SurfToVol_1">'HK-D01'!#REF!</definedName>
    <definedName name="SurfToVol">#REF!</definedName>
    <definedName name="System">#REF!</definedName>
    <definedName name="TimeSinceLast_1">'HK-D01'!$G$7</definedName>
    <definedName name="TimeSinceLast">#REF!</definedName>
    <definedName name="TypeFuel_1">'HK-D01'!#REF!</definedName>
    <definedName name="TypeFuel">#REF!</definedName>
    <definedName name="UnburnedFuel">'HK-D01'!$G$19</definedName>
    <definedName name="UnFuel_1">'HK-D01'!$G$19</definedName>
    <definedName name="UnFuel">#REF!</definedName>
    <definedName name="Weight_1">'HK-D01'!$F$23:$F$31</definedName>
    <definedName name="Weight">#REF!</definedName>
    <definedName name="Wt_x_Mois_1">'HK-D01'!$I$24:$I$31</definedName>
    <definedName name="Wt_x_Mois">#REF!</definedName>
    <definedName name="WtFuel_1">'HK-D01'!$C$5</definedName>
    <definedName name="WtFuel">#REF!</definedName>
    <definedName name="WtKindl">'HK-D01'!$G$18</definedName>
    <definedName name="WtMois_1">'HK-D01'!$F$23:$G$31</definedName>
    <definedName name="WtMois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L2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2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2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3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3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3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4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4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4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5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5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5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6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6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6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7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7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7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8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8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8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9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9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9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10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10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10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11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11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11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12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12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12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13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13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13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14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14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14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15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15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15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16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16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16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17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17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17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18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18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18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19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19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19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20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20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20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21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21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21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22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22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23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23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23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24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24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24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25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25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25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26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26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26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27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27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27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28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28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28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29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29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29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30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30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30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31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31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31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32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32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32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33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33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33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34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34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34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35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35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35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36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36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36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37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37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37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38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38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38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39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39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39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40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40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40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41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41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41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42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42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42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43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43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43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44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44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44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45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45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45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46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46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46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</commentList>
</comments>
</file>

<file path=xl/sharedStrings.xml><?xml version="1.0" encoding="utf-8"?>
<sst xmlns="http://schemas.openxmlformats.org/spreadsheetml/2006/main" count="93" uniqueCount="82">
  <si>
    <t>LOPEZ LABS EMISSIONS TEST CALCULATOR</t>
  </si>
  <si>
    <t>Notes</t>
  </si>
  <si>
    <t>Revised Jan 26/14</t>
  </si>
  <si>
    <t>RUN No.</t>
  </si>
  <si>
    <t>BK1-08</t>
  </si>
  <si>
    <t>Instructions:</t>
  </si>
  <si>
    <t>Enter data only into fields that are</t>
  </si>
  <si>
    <t>Wood Moisture %</t>
  </si>
  <si>
    <t>shaded like this box</t>
  </si>
  <si>
    <t>Total Weight lbs</t>
  </si>
  <si>
    <t>Kindling Weight lbs</t>
  </si>
  <si>
    <t>Heater ID</t>
  </si>
  <si>
    <t>BK1</t>
  </si>
  <si>
    <t>DATE</t>
  </si>
  <si>
    <t>Number of Pieces</t>
  </si>
  <si>
    <t>Time since last burn</t>
  </si>
  <si>
    <t>Outdoor Temperature</t>
  </si>
  <si>
    <t>21C</t>
  </si>
  <si>
    <t>Fuel Surface/Vol</t>
  </si>
  <si>
    <t>Firebox temp, start</t>
  </si>
  <si>
    <t>57C</t>
  </si>
  <si>
    <t>Weather</t>
  </si>
  <si>
    <t>very little wind</t>
  </si>
  <si>
    <t>Average Pc. Wt. lbs</t>
  </si>
  <si>
    <t>Run Length hrs</t>
  </si>
  <si>
    <t>AVERAGES FROM TESTO TEMPLATE</t>
  </si>
  <si>
    <t>Av. Stack Temp F</t>
  </si>
  <si>
    <t>StackTemp</t>
  </si>
  <si>
    <t>O2%</t>
  </si>
  <si>
    <t>ppm CO</t>
  </si>
  <si>
    <t>Air Temp</t>
  </si>
  <si>
    <t>Start Time</t>
  </si>
  <si>
    <t>Av. O2%</t>
  </si>
  <si>
    <t>Av. CO%</t>
  </si>
  <si>
    <t>Stack Temp Factor</t>
  </si>
  <si>
    <t>FUELING</t>
  </si>
  <si>
    <t>Stack Dilution Factor</t>
  </si>
  <si>
    <t>Burn Rate  dry kg/hr</t>
  </si>
  <si>
    <t>Fuel Type</t>
  </si>
  <si>
    <t xml:space="preserve">DF </t>
  </si>
  <si>
    <t>Austrian Eco firebox with 6 rows of slits in 3 walls</t>
  </si>
  <si>
    <t>Boiling of Water Loss%</t>
  </si>
  <si>
    <t>CO Loss %</t>
  </si>
  <si>
    <t>Kindling Weight</t>
  </si>
  <si>
    <t>no front grate or slot</t>
  </si>
  <si>
    <t>HC Loss %</t>
  </si>
  <si>
    <t>Unburned Fuel</t>
  </si>
  <si>
    <t>4" pipe in the ash door opening</t>
  </si>
  <si>
    <t>Dry Gas Loss %</t>
  </si>
  <si>
    <t>Filter Catch gm</t>
  </si>
  <si>
    <t>DETAILED FUEL INFORMATION</t>
  </si>
  <si>
    <t>Combustion Effic</t>
  </si>
  <si>
    <t>Piece #</t>
  </si>
  <si>
    <t>Weight</t>
  </si>
  <si>
    <t>Moisture</t>
  </si>
  <si>
    <t>Length cm</t>
  </si>
  <si>
    <t>Circumf cm</t>
  </si>
  <si>
    <t>Species</t>
  </si>
  <si>
    <t>Shape</t>
  </si>
  <si>
    <t>scratch</t>
  </si>
  <si>
    <t>Heat Trans. Effic</t>
  </si>
  <si>
    <t>doug fir</t>
  </si>
  <si>
    <t>g/kg    Condar</t>
  </si>
  <si>
    <t>g/kg    CO</t>
  </si>
  <si>
    <t>Overall Efficiency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</si>
  <si>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</si>
  <si>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</si>
  <si>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</si>
  <si>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</si>
  <si>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</si>
  <si>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</si>
  <si>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</si>
  <si>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</si>
  <si>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</si>
  <si>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</si>
  <si>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</si>
  <si>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Shape key:</t>
  </si>
  <si>
    <t>round</t>
  </si>
  <si>
    <t>half</t>
  </si>
  <si>
    <t>quarter</t>
  </si>
  <si>
    <t>smaller than quarter</t>
  </si>
  <si>
    <t>other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</si>
</sst>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0.0000"/>
    <numFmt numFmtId="167" formatCode="0.0"/>
    <numFmt numFmtId="168" formatCode="DD/MM/YYYY"/>
    <numFmt numFmtId="169" formatCode="0.00"/>
    <numFmt numFmtId="170" formatCode="H:MM\ AM/PM"/>
    <numFmt numFmtId="171" formatCode="H:MM"/>
  </numFmts>
  <fonts count="10">
    <font>
      <sz val="10"/>
      <name val="Arial"/>
      <family val="2"/>
    </font>
    <font>
      <b/>
      <sz val="11"/>
      <name val="Arial"/>
      <family val="2"/>
    </font>
    <font>
      <sz val="10"/>
      <color indexed="17"/>
      <name val="Arial"/>
      <family val="2"/>
    </font>
    <font>
      <sz val="9"/>
      <color indexed="8"/>
      <name val="Tahoma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>
      <alignment/>
      <protection/>
    </xf>
    <xf numFmtId="165" fontId="0" fillId="0" borderId="0">
      <alignment/>
      <protection/>
    </xf>
    <xf numFmtId="164" fontId="2" fillId="2" borderId="0" applyNumberFormat="0" applyBorder="0" applyAlignment="0" applyProtection="0"/>
  </cellStyleXfs>
  <cellXfs count="8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1" xfId="0" applyFont="1" applyBorder="1" applyAlignment="1">
      <alignment horizontal="left"/>
    </xf>
    <xf numFmtId="164" fontId="0" fillId="0" borderId="0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4" fontId="0" fillId="3" borderId="0" xfId="0" applyFont="1" applyFill="1" applyAlignment="1">
      <alignment/>
    </xf>
    <xf numFmtId="164" fontId="2" fillId="2" borderId="0" xfId="22" applyNumberFormat="1" applyBorder="1" applyAlignment="1" applyProtection="1">
      <alignment horizontal="center"/>
      <protection/>
    </xf>
    <xf numFmtId="164" fontId="4" fillId="0" borderId="2" xfId="0" applyFont="1" applyBorder="1" applyAlignment="1">
      <alignment horizontal="left"/>
    </xf>
    <xf numFmtId="165" fontId="2" fillId="2" borderId="4" xfId="22" applyNumberFormat="1" applyFont="1" applyBorder="1" applyAlignment="1" applyProtection="1">
      <alignment horizontal="center"/>
      <protection/>
    </xf>
    <xf numFmtId="164" fontId="5" fillId="0" borderId="0" xfId="0" applyFont="1" applyBorder="1" applyAlignment="1">
      <alignment/>
    </xf>
    <xf numFmtId="164" fontId="6" fillId="0" borderId="0" xfId="0" applyFont="1" applyAlignment="1">
      <alignment/>
    </xf>
    <xf numFmtId="166" fontId="2" fillId="2" borderId="5" xfId="22" applyNumberFormat="1" applyFont="1" applyBorder="1" applyAlignment="1" applyProtection="1">
      <alignment horizontal="left"/>
      <protection/>
    </xf>
    <xf numFmtId="166" fontId="2" fillId="2" borderId="6" xfId="22" applyNumberFormat="1" applyBorder="1" applyAlignment="1" applyProtection="1">
      <alignment horizontal="center"/>
      <protection/>
    </xf>
    <xf numFmtId="166" fontId="2" fillId="2" borderId="7" xfId="22" applyNumberFormat="1" applyBorder="1" applyAlignment="1" applyProtection="1">
      <alignment horizontal="center"/>
      <protection/>
    </xf>
    <xf numFmtId="164" fontId="0" fillId="4" borderId="0" xfId="0" applyFont="1" applyFill="1" applyBorder="1" applyAlignment="1">
      <alignment/>
    </xf>
    <xf numFmtId="167" fontId="0" fillId="4" borderId="0" xfId="0" applyNumberFormat="1" applyFont="1" applyFill="1" applyBorder="1" applyAlignment="1">
      <alignment horizontal="center"/>
    </xf>
    <xf numFmtId="166" fontId="2" fillId="2" borderId="8" xfId="22" applyNumberFormat="1" applyFont="1" applyBorder="1" applyAlignment="1" applyProtection="1">
      <alignment horizontal="left"/>
      <protection/>
    </xf>
    <xf numFmtId="166" fontId="2" fillId="2" borderId="9" xfId="22" applyNumberFormat="1" applyBorder="1" applyAlignment="1" applyProtection="1">
      <alignment horizontal="center"/>
      <protection/>
    </xf>
    <xf numFmtId="166" fontId="2" fillId="2" borderId="10" xfId="22" applyNumberFormat="1" applyBorder="1" applyAlignment="1" applyProtection="1">
      <alignment horizontal="center"/>
      <protection/>
    </xf>
    <xf numFmtId="164" fontId="0" fillId="4" borderId="0" xfId="0" applyFont="1" applyFill="1" applyBorder="1" applyAlignment="1">
      <alignment horizontal="center"/>
    </xf>
    <xf numFmtId="164" fontId="0" fillId="0" borderId="2" xfId="0" applyFont="1" applyBorder="1" applyAlignment="1">
      <alignment horizontal="center"/>
    </xf>
    <xf numFmtId="166" fontId="2" fillId="2" borderId="4" xfId="22" applyNumberFormat="1" applyFont="1" applyBorder="1" applyAlignment="1" applyProtection="1">
      <alignment horizontal="center"/>
      <protection/>
    </xf>
    <xf numFmtId="168" fontId="2" fillId="2" borderId="4" xfId="22" applyNumberFormat="1" applyBorder="1" applyAlignment="1" applyProtection="1">
      <alignment horizontal="center"/>
      <protection/>
    </xf>
    <xf numFmtId="165" fontId="2" fillId="2" borderId="0" xfId="22" applyNumberFormat="1" applyBorder="1" applyAlignment="1" applyProtection="1">
      <alignment horizontal="center"/>
      <protection/>
    </xf>
    <xf numFmtId="164" fontId="0" fillId="0" borderId="0" xfId="0" applyFont="1" applyBorder="1" applyAlignment="1">
      <alignment horizontal="left"/>
    </xf>
    <xf numFmtId="169" fontId="0" fillId="4" borderId="0" xfId="0" applyNumberFormat="1" applyFont="1" applyFill="1" applyBorder="1" applyAlignment="1">
      <alignment horizontal="center"/>
    </xf>
    <xf numFmtId="164" fontId="0" fillId="5" borderId="0" xfId="0" applyFont="1" applyFill="1" applyAlignment="1">
      <alignment/>
    </xf>
    <xf numFmtId="166" fontId="2" fillId="2" borderId="0" xfId="22" applyNumberFormat="1" applyFont="1" applyBorder="1" applyAlignment="1" applyProtection="1">
      <alignment horizontal="right"/>
      <protection/>
    </xf>
    <xf numFmtId="169" fontId="2" fillId="2" borderId="0" xfId="22" applyNumberFormat="1" applyBorder="1" applyAlignment="1" applyProtection="1">
      <alignment horizontal="center"/>
      <protection/>
    </xf>
    <xf numFmtId="164" fontId="0" fillId="0" borderId="1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7" fillId="0" borderId="0" xfId="0" applyFont="1" applyAlignment="1">
      <alignment/>
    </xf>
    <xf numFmtId="165" fontId="0" fillId="4" borderId="0" xfId="0" applyNumberFormat="1" applyFont="1" applyFill="1" applyBorder="1" applyAlignment="1">
      <alignment horizontal="center"/>
    </xf>
    <xf numFmtId="164" fontId="8" fillId="0" borderId="6" xfId="0" applyFon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7" fontId="2" fillId="2" borderId="0" xfId="22" applyNumberFormat="1" applyBorder="1" applyAlignment="1" applyProtection="1">
      <alignment horizontal="center"/>
      <protection/>
    </xf>
    <xf numFmtId="171" fontId="2" fillId="2" borderId="0" xfId="22" applyNumberFormat="1" applyBorder="1" applyAlignment="1" applyProtection="1">
      <alignment horizontal="center"/>
      <protection/>
    </xf>
    <xf numFmtId="165" fontId="0" fillId="0" borderId="0" xfId="21" applyBorder="1">
      <alignment/>
      <protection/>
    </xf>
    <xf numFmtId="165" fontId="0" fillId="0" borderId="0" xfId="20" applyFont="1" applyBorder="1">
      <alignment/>
      <protection/>
    </xf>
    <xf numFmtId="164" fontId="0" fillId="3" borderId="0" xfId="0" applyFont="1" applyFill="1" applyBorder="1" applyAlignment="1">
      <alignment/>
    </xf>
    <xf numFmtId="169" fontId="0" fillId="4" borderId="0" xfId="0" applyNumberFormat="1" applyFont="1" applyFill="1" applyBorder="1" applyAlignment="1" applyProtection="1">
      <alignment horizontal="center"/>
      <protection/>
    </xf>
    <xf numFmtId="164" fontId="0" fillId="0" borderId="11" xfId="0" applyFont="1" applyBorder="1" applyAlignment="1">
      <alignment/>
    </xf>
    <xf numFmtId="164" fontId="0" fillId="0" borderId="12" xfId="0" applyFont="1" applyBorder="1" applyAlignment="1">
      <alignment/>
    </xf>
    <xf numFmtId="164" fontId="2" fillId="2" borderId="1" xfId="22" applyNumberFormat="1" applyFont="1" applyBorder="1" applyAlignment="1" applyProtection="1">
      <alignment/>
      <protection/>
    </xf>
    <xf numFmtId="165" fontId="2" fillId="2" borderId="0" xfId="22" applyNumberFormat="1" applyFont="1" applyBorder="1" applyAlignment="1" applyProtection="1">
      <alignment horizontal="left"/>
      <protection/>
    </xf>
    <xf numFmtId="166" fontId="2" fillId="2" borderId="0" xfId="22" applyNumberFormat="1" applyBorder="1" applyAlignment="1" applyProtection="1">
      <alignment horizontal="left"/>
      <protection/>
    </xf>
    <xf numFmtId="166" fontId="2" fillId="2" borderId="12" xfId="22" applyNumberFormat="1" applyBorder="1" applyAlignment="1" applyProtection="1">
      <alignment horizontal="left"/>
      <protection/>
    </xf>
    <xf numFmtId="166" fontId="2" fillId="2" borderId="11" xfId="22" applyNumberFormat="1" applyFont="1" applyBorder="1" applyAlignment="1" applyProtection="1">
      <alignment horizontal="left"/>
      <protection/>
    </xf>
    <xf numFmtId="169" fontId="2" fillId="2" borderId="2" xfId="22" applyNumberFormat="1" applyBorder="1" applyAlignment="1" applyProtection="1">
      <alignment horizontal="center"/>
      <protection/>
    </xf>
    <xf numFmtId="167" fontId="2" fillId="2" borderId="2" xfId="22" applyNumberFormat="1" applyBorder="1" applyAlignment="1" applyProtection="1">
      <alignment horizontal="center"/>
      <protection/>
    </xf>
    <xf numFmtId="166" fontId="2" fillId="2" borderId="9" xfId="22" applyNumberFormat="1" applyBorder="1" applyAlignment="1" applyProtection="1">
      <alignment horizontal="left"/>
      <protection/>
    </xf>
    <xf numFmtId="166" fontId="2" fillId="2" borderId="10" xfId="22" applyNumberFormat="1" applyBorder="1" applyAlignment="1" applyProtection="1">
      <alignment horizontal="left"/>
      <protection/>
    </xf>
    <xf numFmtId="166" fontId="0" fillId="4" borderId="0" xfId="0" applyNumberFormat="1" applyFont="1" applyFill="1" applyBorder="1" applyAlignment="1">
      <alignment horizontal="left"/>
    </xf>
    <xf numFmtId="166" fontId="0" fillId="4" borderId="0" xfId="0" applyNumberFormat="1" applyFont="1" applyFill="1" applyBorder="1" applyAlignment="1">
      <alignment horizontal="center"/>
    </xf>
    <xf numFmtId="164" fontId="0" fillId="0" borderId="0" xfId="0" applyFont="1" applyAlignment="1">
      <alignment horizontal="center"/>
    </xf>
    <xf numFmtId="164" fontId="4" fillId="6" borderId="5" xfId="0" applyFont="1" applyFill="1" applyBorder="1" applyAlignment="1">
      <alignment/>
    </xf>
    <xf numFmtId="164" fontId="4" fillId="6" borderId="6" xfId="0" applyFont="1" applyFill="1" applyBorder="1" applyAlignment="1">
      <alignment/>
    </xf>
    <xf numFmtId="169" fontId="4" fillId="6" borderId="7" xfId="0" applyNumberFormat="1" applyFont="1" applyFill="1" applyBorder="1" applyAlignment="1">
      <alignment horizontal="center"/>
    </xf>
    <xf numFmtId="164" fontId="4" fillId="6" borderId="11" xfId="0" applyFont="1" applyFill="1" applyBorder="1" applyAlignment="1">
      <alignment/>
    </xf>
    <xf numFmtId="164" fontId="0" fillId="6" borderId="0" xfId="0" applyFont="1" applyFill="1" applyBorder="1" applyAlignment="1">
      <alignment/>
    </xf>
    <xf numFmtId="169" fontId="4" fillId="6" borderId="12" xfId="0" applyNumberFormat="1" applyFont="1" applyFill="1" applyBorder="1" applyAlignment="1">
      <alignment horizontal="center"/>
    </xf>
    <xf numFmtId="164" fontId="4" fillId="6" borderId="8" xfId="0" applyFont="1" applyFill="1" applyBorder="1" applyAlignment="1">
      <alignment/>
    </xf>
    <xf numFmtId="164" fontId="4" fillId="6" borderId="9" xfId="0" applyFont="1" applyFill="1" applyBorder="1" applyAlignment="1">
      <alignment/>
    </xf>
    <xf numFmtId="169" fontId="4" fillId="6" borderId="10" xfId="0" applyNumberFormat="1" applyFont="1" applyFill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0" fillId="0" borderId="8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6" fontId="0" fillId="7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166" fontId="0" fillId="0" borderId="8" xfId="0" applyNumberFormat="1" applyFont="1" applyBorder="1" applyAlignment="1">
      <alignment horizontal="center"/>
    </xf>
    <xf numFmtId="166" fontId="0" fillId="7" borderId="9" xfId="0" applyNumberFormat="1" applyFont="1" applyFill="1" applyBorder="1" applyAlignment="1">
      <alignment horizontal="center"/>
    </xf>
    <xf numFmtId="166" fontId="0" fillId="0" borderId="9" xfId="0" applyNumberFormat="1" applyFont="1" applyBorder="1" applyAlignment="1">
      <alignment horizontal="center"/>
    </xf>
    <xf numFmtId="166" fontId="0" fillId="3" borderId="0" xfId="0" applyNumberFormat="1" applyFont="1" applyFill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166" fontId="0" fillId="0" borderId="3" xfId="0" applyNumberFormat="1" applyFont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4" fontId="0" fillId="0" borderId="0" xfId="0" applyFill="1" applyAlignment="1">
      <alignment/>
    </xf>
    <xf numFmtId="164" fontId="0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Alignment="1">
      <alignment/>
    </xf>
    <xf numFmtId="169" fontId="0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yle10" xfId="20"/>
    <cellStyle name="Style7" xfId="21"/>
    <cellStyle name="Excel_BuiltIn_Good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EFEF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0E0E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 topLeftCell="A1">
      <selection activeCell="C30" sqref="C30"/>
    </sheetView>
  </sheetViews>
  <sheetFormatPr defaultColWidth="9.140625" defaultRowHeight="12.75" outlineLevelRow="1" outlineLevelCol="1"/>
  <cols>
    <col min="1" max="1" width="9.140625" style="1" customWidth="1" outlineLevel="1"/>
    <col min="2" max="2" width="10.8515625" style="1" customWidth="1" outlineLevel="1"/>
    <col min="3" max="4" width="9.140625" style="1" customWidth="1" outlineLevel="1"/>
    <col min="5" max="6" width="9.140625" style="1" customWidth="1"/>
    <col min="7" max="7" width="9.8515625" style="1" customWidth="1"/>
    <col min="8" max="8" width="9.57421875" style="1" customWidth="1"/>
    <col min="9" max="9" width="11.140625" style="1" customWidth="1"/>
    <col min="10" max="10" width="10.28125" style="1" customWidth="1"/>
    <col min="11" max="11" width="9.421875" style="1" customWidth="1"/>
    <col min="12" max="12" width="7.28125" style="1" customWidth="1"/>
    <col min="13" max="13" width="6.7109375" style="1" customWidth="1"/>
    <col min="14" max="14" width="6.28125" style="1" customWidth="1"/>
    <col min="15" max="16384" width="9.140625" style="1" customWidth="1"/>
  </cols>
  <sheetData>
    <row r="1" spans="1:14" ht="18" customHeight="1" outlineLevel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 t="s">
        <v>1</v>
      </c>
      <c r="M1" s="5"/>
      <c r="N1" s="6"/>
    </row>
    <row r="2" spans="1:17" ht="12.75" outlineLevel="1">
      <c r="A2" s="1" t="s">
        <v>2</v>
      </c>
      <c r="C2" s="7"/>
      <c r="D2" s="7"/>
      <c r="E2" s="7"/>
      <c r="F2" s="7"/>
      <c r="G2" s="7"/>
      <c r="H2" s="3"/>
      <c r="I2" s="3"/>
      <c r="J2" s="3"/>
      <c r="K2"/>
      <c r="L2" s="8">
        <v>1</v>
      </c>
      <c r="M2" s="8">
        <v>46</v>
      </c>
      <c r="N2" s="8">
        <v>91</v>
      </c>
      <c r="O2"/>
      <c r="P2"/>
      <c r="Q2"/>
    </row>
    <row r="3" spans="1:14" ht="18" outlineLevel="1">
      <c r="A3" s="9" t="s">
        <v>3</v>
      </c>
      <c r="B3" s="5"/>
      <c r="C3" s="10" t="s">
        <v>4</v>
      </c>
      <c r="D3" s="7"/>
      <c r="E3" s="11" t="s">
        <v>5</v>
      </c>
      <c r="F3" s="12"/>
      <c r="G3" s="13" t="s">
        <v>6</v>
      </c>
      <c r="H3" s="14"/>
      <c r="I3" s="14"/>
      <c r="J3" s="15"/>
      <c r="K3"/>
      <c r="L3" s="8">
        <v>2</v>
      </c>
      <c r="M3" s="8">
        <v>47</v>
      </c>
      <c r="N3" s="8">
        <v>92</v>
      </c>
    </row>
    <row r="4" spans="1:17" ht="12.75" outlineLevel="1">
      <c r="A4" s="16" t="s">
        <v>7</v>
      </c>
      <c r="B4" s="16"/>
      <c r="C4" s="17">
        <f>(SUM(scratch1)+WtKindl*15.5)/WtFuel_1</f>
        <v>15.777650930092001</v>
      </c>
      <c r="D4" s="7"/>
      <c r="E4" s="7"/>
      <c r="F4" s="7"/>
      <c r="G4" s="18" t="s">
        <v>8</v>
      </c>
      <c r="H4" s="19"/>
      <c r="I4" s="19"/>
      <c r="J4" s="20"/>
      <c r="K4"/>
      <c r="L4" s="8">
        <v>3</v>
      </c>
      <c r="M4" s="8">
        <v>48</v>
      </c>
      <c r="N4" s="8">
        <v>93</v>
      </c>
      <c r="O4"/>
      <c r="P4"/>
      <c r="Q4"/>
    </row>
    <row r="5" spans="1:14" ht="12.75" outlineLevel="1">
      <c r="A5" s="16" t="s">
        <v>9</v>
      </c>
      <c r="B5" s="16"/>
      <c r="C5" s="17">
        <f>SUM(PcWt)+WtKindl-UnburnedFuel</f>
        <v>49.19933920704846</v>
      </c>
      <c r="D5" s="7"/>
      <c r="K5"/>
      <c r="L5" s="8">
        <v>4</v>
      </c>
      <c r="M5" s="8">
        <v>49</v>
      </c>
      <c r="N5" s="8">
        <v>94</v>
      </c>
    </row>
    <row r="6" spans="1:14" ht="12.75" outlineLevel="1">
      <c r="A6" s="16" t="s">
        <v>10</v>
      </c>
      <c r="B6" s="16"/>
      <c r="C6" s="21">
        <f>KindlingWeight_1</f>
        <v>2</v>
      </c>
      <c r="D6" s="7"/>
      <c r="E6" s="22" t="s">
        <v>11</v>
      </c>
      <c r="F6" s="5"/>
      <c r="G6" s="23" t="s">
        <v>12</v>
      </c>
      <c r="H6" s="22" t="s">
        <v>13</v>
      </c>
      <c r="I6" s="5"/>
      <c r="J6" s="24">
        <v>41802</v>
      </c>
      <c r="K6"/>
      <c r="L6" s="8">
        <v>5</v>
      </c>
      <c r="M6" s="8">
        <v>50</v>
      </c>
      <c r="N6" s="8">
        <v>95</v>
      </c>
    </row>
    <row r="7" spans="1:14" ht="12.75" outlineLevel="1">
      <c r="A7" s="16" t="s">
        <v>14</v>
      </c>
      <c r="B7" s="16"/>
      <c r="C7" s="21">
        <f>COUNT(PcWt)</f>
        <v>10</v>
      </c>
      <c r="D7" s="7"/>
      <c r="E7" s="3" t="s">
        <v>15</v>
      </c>
      <c r="F7" s="3"/>
      <c r="G7" s="25">
        <v>24</v>
      </c>
      <c r="H7" s="26" t="s">
        <v>16</v>
      </c>
      <c r="I7" s="3"/>
      <c r="J7" s="8" t="s">
        <v>17</v>
      </c>
      <c r="K7"/>
      <c r="L7" s="8">
        <v>6</v>
      </c>
      <c r="M7" s="8">
        <v>51</v>
      </c>
      <c r="N7" s="8">
        <v>96</v>
      </c>
    </row>
    <row r="8" spans="1:14" ht="12.75" outlineLevel="1">
      <c r="A8" s="16" t="s">
        <v>18</v>
      </c>
      <c r="B8" s="16"/>
      <c r="C8" s="27">
        <f>(AVERAGE(Length)+SUM(Circumf))/(WtFuel_1-WtKindl)</f>
        <v>3.514644308073619</v>
      </c>
      <c r="D8" s="7"/>
      <c r="E8" s="1" t="s">
        <v>19</v>
      </c>
      <c r="G8" s="25" t="s">
        <v>20</v>
      </c>
      <c r="H8" s="28" t="s">
        <v>21</v>
      </c>
      <c r="I8" s="29" t="s">
        <v>22</v>
      </c>
      <c r="J8" s="29"/>
      <c r="K8"/>
      <c r="L8" s="8">
        <v>7</v>
      </c>
      <c r="M8" s="8">
        <v>52</v>
      </c>
      <c r="N8" s="8">
        <v>97</v>
      </c>
    </row>
    <row r="9" spans="1:14" ht="12.75" outlineLevel="1">
      <c r="A9" s="16" t="s">
        <v>23</v>
      </c>
      <c r="B9" s="16"/>
      <c r="C9" s="17">
        <f>AVERAGE(PcWt)</f>
        <v>4.775</v>
      </c>
      <c r="K9"/>
      <c r="L9" s="8">
        <v>8</v>
      </c>
      <c r="M9" s="8">
        <v>53</v>
      </c>
      <c r="N9" s="8">
        <v>98</v>
      </c>
    </row>
    <row r="10" spans="1:15" ht="14.25" outlineLevel="1">
      <c r="A10" s="16" t="s">
        <v>24</v>
      </c>
      <c r="B10" s="16"/>
      <c r="C10" s="30">
        <v>2</v>
      </c>
      <c r="D10" s="7"/>
      <c r="E10" s="31" t="s">
        <v>25</v>
      </c>
      <c r="F10" s="31"/>
      <c r="G10" s="31"/>
      <c r="H10" s="31"/>
      <c r="I10" s="32"/>
      <c r="J10" s="32"/>
      <c r="K10"/>
      <c r="L10" s="8">
        <v>9</v>
      </c>
      <c r="M10" s="8">
        <v>54</v>
      </c>
      <c r="N10" s="8">
        <v>99</v>
      </c>
      <c r="O10" s="33"/>
    </row>
    <row r="11" spans="1:16" ht="12.75" outlineLevel="1">
      <c r="A11" s="16" t="s">
        <v>26</v>
      </c>
      <c r="B11" s="16"/>
      <c r="C11" s="34">
        <f>StackTemp</f>
        <v>229</v>
      </c>
      <c r="D11" s="7"/>
      <c r="E11" s="35" t="s">
        <v>27</v>
      </c>
      <c r="F11" s="35" t="s">
        <v>28</v>
      </c>
      <c r="G11" s="35" t="s">
        <v>29</v>
      </c>
      <c r="H11" s="1" t="s">
        <v>30</v>
      </c>
      <c r="I11" s="3" t="s">
        <v>31</v>
      </c>
      <c r="J11" s="36"/>
      <c r="L11" s="8">
        <v>10</v>
      </c>
      <c r="M11" s="8">
        <v>55</v>
      </c>
      <c r="N11" s="8">
        <v>100</v>
      </c>
      <c r="P11" s="37"/>
    </row>
    <row r="12" spans="1:14" ht="12.75" outlineLevel="1">
      <c r="A12" s="16" t="s">
        <v>32</v>
      </c>
      <c r="B12" s="16"/>
      <c r="C12" s="27">
        <f>F12</f>
        <v>12.81</v>
      </c>
      <c r="D12" s="7"/>
      <c r="E12" s="25">
        <v>229</v>
      </c>
      <c r="F12" s="30">
        <v>12.81</v>
      </c>
      <c r="G12" s="38">
        <v>396</v>
      </c>
      <c r="H12" s="8"/>
      <c r="I12" s="39">
        <v>0.7534722222222222</v>
      </c>
      <c r="J12" s="3"/>
      <c r="K12"/>
      <c r="L12" s="8">
        <v>11</v>
      </c>
      <c r="M12" s="8">
        <v>56</v>
      </c>
      <c r="N12" s="8">
        <v>101</v>
      </c>
    </row>
    <row r="13" spans="1:14" ht="12.75">
      <c r="A13" s="16" t="s">
        <v>33</v>
      </c>
      <c r="B13" s="16"/>
      <c r="C13" s="27">
        <f>AVERAGE(ppm_CO)/10000</f>
        <v>0.0396</v>
      </c>
      <c r="D13" s="7"/>
      <c r="E13" s="32"/>
      <c r="F13" s="40"/>
      <c r="G13" s="40"/>
      <c r="H13" s="40"/>
      <c r="I13" s="41"/>
      <c r="J13" s="3"/>
      <c r="K13"/>
      <c r="L13" s="8">
        <v>12</v>
      </c>
      <c r="M13" s="8">
        <v>57</v>
      </c>
      <c r="N13" s="8">
        <v>102</v>
      </c>
    </row>
    <row r="14" spans="1:14" ht="12.75">
      <c r="A14" s="16" t="s">
        <v>34</v>
      </c>
      <c r="B14" s="16"/>
      <c r="C14" s="27">
        <f>SQRT(528/(460+StackTemp))</f>
        <v>0.875401628745932</v>
      </c>
      <c r="D14" s="42"/>
      <c r="E14" s="31" t="s">
        <v>35</v>
      </c>
      <c r="F14" s="31"/>
      <c r="G14" s="31"/>
      <c r="H14" s="31"/>
      <c r="I14" s="31"/>
      <c r="J14" s="31"/>
      <c r="L14" s="8">
        <v>13</v>
      </c>
      <c r="M14" s="8">
        <v>58</v>
      </c>
      <c r="N14" s="8">
        <v>103</v>
      </c>
    </row>
    <row r="15" spans="1:14" ht="12.75">
      <c r="A15" s="16" t="s">
        <v>36</v>
      </c>
      <c r="B15" s="16"/>
      <c r="C15" s="43">
        <f>20.9/(20.9-_AvO2_1)</f>
        <v>2.5834363411619288</v>
      </c>
      <c r="D15" s="7"/>
      <c r="E15" s="7"/>
      <c r="F15" s="7"/>
      <c r="G15" s="7"/>
      <c r="H15" s="44"/>
      <c r="I15" s="3"/>
      <c r="J15" s="45"/>
      <c r="L15" s="8">
        <v>14</v>
      </c>
      <c r="M15" s="8">
        <v>59</v>
      </c>
      <c r="N15" s="8">
        <v>104</v>
      </c>
    </row>
    <row r="16" spans="1:14" ht="12.75">
      <c r="A16" s="16" t="s">
        <v>37</v>
      </c>
      <c r="B16" s="16"/>
      <c r="C16" s="27">
        <f>((WtFuel_1-(UnburnedFuel*(1+AvMoisture_1/100)))/RunLength_1)*(1-(AvMoisture_1/100))/2.2</f>
        <v>9.295428692792248</v>
      </c>
      <c r="D16" s="7"/>
      <c r="E16" s="1" t="s">
        <v>38</v>
      </c>
      <c r="G16" s="46" t="s">
        <v>39</v>
      </c>
      <c r="H16" s="47" t="s">
        <v>40</v>
      </c>
      <c r="I16" s="48"/>
      <c r="J16" s="49"/>
      <c r="L16" s="8">
        <v>15</v>
      </c>
      <c r="M16" s="8">
        <v>60</v>
      </c>
      <c r="N16" s="8">
        <v>105</v>
      </c>
    </row>
    <row r="17" spans="1:14" ht="12.75">
      <c r="A17" s="16" t="s">
        <v>41</v>
      </c>
      <c r="B17" s="16"/>
      <c r="C17" s="27">
        <f>(8.05+0.0035*(StackTemp-70))+(2.58+0.00114*StackTemp)</f>
        <v>11.447560000000001</v>
      </c>
      <c r="D17" s="7"/>
      <c r="E17" s="7"/>
      <c r="F17" s="7"/>
      <c r="G17" s="7"/>
      <c r="H17" s="50"/>
      <c r="I17" s="48"/>
      <c r="J17" s="49"/>
      <c r="L17" s="8">
        <v>16</v>
      </c>
      <c r="M17" s="8">
        <v>61</v>
      </c>
      <c r="N17" s="8">
        <v>106</v>
      </c>
    </row>
    <row r="18" spans="1:14" ht="12.75">
      <c r="A18" s="16" t="s">
        <v>42</v>
      </c>
      <c r="B18" s="16"/>
      <c r="C18" s="27">
        <f>gmKgCO_1*9.75/86</f>
        <v>0.6877867551096675</v>
      </c>
      <c r="D18" s="7"/>
      <c r="E18" s="3" t="s">
        <v>43</v>
      </c>
      <c r="F18" s="3"/>
      <c r="G18" s="51">
        <v>2</v>
      </c>
      <c r="H18" s="50" t="s">
        <v>44</v>
      </c>
      <c r="I18" s="48"/>
      <c r="J18" s="49"/>
      <c r="L18" s="8">
        <v>17</v>
      </c>
      <c r="M18" s="8">
        <v>62</v>
      </c>
      <c r="N18" s="8">
        <v>107</v>
      </c>
    </row>
    <row r="19" spans="1:14" ht="12.75">
      <c r="A19" s="16" t="s">
        <v>45</v>
      </c>
      <c r="B19" s="16"/>
      <c r="C19" s="27">
        <f>gmKgCondar_1*33/86</f>
        <v>0.1506112953667918</v>
      </c>
      <c r="D19" s="7"/>
      <c r="E19" s="1" t="s">
        <v>46</v>
      </c>
      <c r="G19" s="52">
        <f>250/454</f>
        <v>0.5506607929515418</v>
      </c>
      <c r="H19" s="18" t="s">
        <v>47</v>
      </c>
      <c r="I19" s="53"/>
      <c r="J19" s="54"/>
      <c r="L19" s="8">
        <v>18</v>
      </c>
      <c r="M19" s="8">
        <v>63</v>
      </c>
      <c r="N19" s="8">
        <v>108</v>
      </c>
    </row>
    <row r="20" spans="1:14" ht="12.75">
      <c r="A20" s="16" t="s">
        <v>48</v>
      </c>
      <c r="B20" s="16"/>
      <c r="C20" s="27">
        <f>((1.5*DilutionFactor_1*(StackTemp-70))/8600)*100</f>
        <v>7.164529853106045</v>
      </c>
      <c r="D20" s="7"/>
      <c r="L20" s="8">
        <v>19</v>
      </c>
      <c r="M20" s="8">
        <v>64</v>
      </c>
      <c r="N20" s="8">
        <v>109</v>
      </c>
    </row>
    <row r="21" spans="1:14" ht="12.75">
      <c r="A21" s="55" t="s">
        <v>49</v>
      </c>
      <c r="B21" s="56"/>
      <c r="C21" s="56">
        <f>Catch_1</f>
        <v>0.03499999999999992</v>
      </c>
      <c r="D21" s="7"/>
      <c r="E21" s="22" t="s">
        <v>50</v>
      </c>
      <c r="F21" s="22"/>
      <c r="G21" s="22"/>
      <c r="H21" s="22"/>
      <c r="I21" s="22"/>
      <c r="J21" s="6"/>
      <c r="L21" s="8">
        <v>20</v>
      </c>
      <c r="M21" s="8">
        <v>65</v>
      </c>
      <c r="N21" s="8">
        <v>110</v>
      </c>
    </row>
    <row r="22" spans="1:15" ht="12.75">
      <c r="A22" s="16" t="s">
        <v>51</v>
      </c>
      <c r="B22" s="16"/>
      <c r="C22" s="27">
        <f>100-COLoss_1-HCLoss_1</f>
        <v>99.16160194952354</v>
      </c>
      <c r="D22" s="7"/>
      <c r="E22" s="3" t="s">
        <v>52</v>
      </c>
      <c r="F22" s="3" t="s">
        <v>53</v>
      </c>
      <c r="G22" s="3" t="s">
        <v>54</v>
      </c>
      <c r="H22" s="3" t="s">
        <v>55</v>
      </c>
      <c r="I22" s="3" t="s">
        <v>56</v>
      </c>
      <c r="J22" s="3" t="s">
        <v>57</v>
      </c>
      <c r="K22" s="3" t="s">
        <v>58</v>
      </c>
      <c r="L22" s="8">
        <v>21</v>
      </c>
      <c r="M22" s="8">
        <v>66</v>
      </c>
      <c r="N22" s="8">
        <v>111</v>
      </c>
      <c r="O22" s="1" t="s">
        <v>59</v>
      </c>
    </row>
    <row r="23" spans="1:15" ht="12.75">
      <c r="A23" s="16" t="s">
        <v>60</v>
      </c>
      <c r="B23" s="16"/>
      <c r="C23" s="27">
        <f>100-DryGasLoss_1-BoilWaterLoss_1</f>
        <v>81.38791014689396</v>
      </c>
      <c r="D23" s="7"/>
      <c r="E23" s="57">
        <v>1</v>
      </c>
      <c r="F23" s="30">
        <v>5.5</v>
      </c>
      <c r="G23" s="30">
        <v>14</v>
      </c>
      <c r="H23" s="38">
        <v>32</v>
      </c>
      <c r="I23" s="38">
        <v>52</v>
      </c>
      <c r="J23" s="25" t="s">
        <v>61</v>
      </c>
      <c r="K23" s="25"/>
      <c r="L23" s="8">
        <v>22</v>
      </c>
      <c r="M23" s="8">
        <v>67</v>
      </c>
      <c r="N23" s="8">
        <v>112</v>
      </c>
      <c r="O23" s="1">
        <f aca="true" t="shared" si="0" ref="O23:O42">PcWt*Moisture_1</f>
        <v>77</v>
      </c>
    </row>
    <row r="24" spans="1:15" ht="12.75">
      <c r="A24" s="58" t="s">
        <v>62</v>
      </c>
      <c r="B24" s="59"/>
      <c r="C24" s="60">
        <f>(Catch_1/RunLength_1)*3.04*(DilutionFactor_1)/(0.4*StackTempFactor_1)</f>
        <v>0.3925021636831544</v>
      </c>
      <c r="D24" s="7"/>
      <c r="E24" s="57">
        <v>2</v>
      </c>
      <c r="F24" s="30">
        <v>7.5</v>
      </c>
      <c r="G24" s="30">
        <v>15</v>
      </c>
      <c r="H24" s="38">
        <v>36</v>
      </c>
      <c r="I24" s="38">
        <v>60</v>
      </c>
      <c r="J24" s="25" t="s">
        <v>61</v>
      </c>
      <c r="K24" s="25"/>
      <c r="L24" s="8">
        <v>23</v>
      </c>
      <c r="M24" s="8">
        <v>68</v>
      </c>
      <c r="N24" s="8">
        <v>113</v>
      </c>
      <c r="O24" s="1">
        <f t="shared" si="0"/>
        <v>112.5</v>
      </c>
    </row>
    <row r="25" spans="1:15" ht="12.75">
      <c r="A25" s="61" t="s">
        <v>63</v>
      </c>
      <c r="B25" s="62"/>
      <c r="C25" s="63">
        <f>59.3*AvCO*DilutionFactor_1</f>
        <v>6.066631891223734</v>
      </c>
      <c r="D25" s="7"/>
      <c r="E25" s="57">
        <v>3</v>
      </c>
      <c r="F25" s="30">
        <v>4.25</v>
      </c>
      <c r="G25" s="30">
        <v>15</v>
      </c>
      <c r="H25" s="38">
        <v>35</v>
      </c>
      <c r="I25" s="38">
        <v>49</v>
      </c>
      <c r="J25" s="25" t="s">
        <v>61</v>
      </c>
      <c r="K25" s="25"/>
      <c r="L25" s="8">
        <v>24</v>
      </c>
      <c r="M25" s="8">
        <v>69</v>
      </c>
      <c r="N25" s="8">
        <v>114</v>
      </c>
      <c r="O25" s="1">
        <f t="shared" si="0"/>
        <v>63.75</v>
      </c>
    </row>
    <row r="26" spans="1:15" ht="12.75">
      <c r="A26" s="64" t="s">
        <v>64</v>
      </c>
      <c r="B26" s="65"/>
      <c r="C26" s="66">
        <f>HTransEffic_1*CombustEffic_1/100</f>
        <v>80.70555549489887</v>
      </c>
      <c r="E26" s="57">
        <v>4</v>
      </c>
      <c r="F26" s="30">
        <v>3.5</v>
      </c>
      <c r="G26" s="30">
        <v>14</v>
      </c>
      <c r="H26" s="38">
        <v>36</v>
      </c>
      <c r="I26" s="38">
        <v>39</v>
      </c>
      <c r="J26" s="25" t="s">
        <v>61</v>
      </c>
      <c r="K26" s="25"/>
      <c r="L26" s="8">
        <v>25</v>
      </c>
      <c r="M26" s="8">
        <v>70</v>
      </c>
      <c r="N26" s="8">
        <v>115</v>
      </c>
      <c r="O26" s="1">
        <f t="shared" si="0"/>
        <v>49</v>
      </c>
    </row>
    <row r="27" spans="1:15" ht="12.75">
      <c r="A27" s="67" t="s">
        <v>65</v>
      </c>
      <c r="B27" s="68" t="s">
        <v>66</v>
      </c>
      <c r="C27" s="68" t="s">
        <v>67</v>
      </c>
      <c r="D27" s="68" t="s">
        <v>68</v>
      </c>
      <c r="E27" s="57">
        <v>5</v>
      </c>
      <c r="F27" s="30">
        <v>4.5</v>
      </c>
      <c r="G27" s="30">
        <v>14</v>
      </c>
      <c r="H27" s="38">
        <v>33</v>
      </c>
      <c r="I27" s="38">
        <v>42</v>
      </c>
      <c r="J27" s="25" t="s">
        <v>61</v>
      </c>
      <c r="K27" s="25"/>
      <c r="L27" s="8">
        <v>26</v>
      </c>
      <c r="M27" s="8">
        <v>71</v>
      </c>
      <c r="N27" s="8">
        <v>116</v>
      </c>
      <c r="O27" s="1">
        <f t="shared" si="0"/>
        <v>63</v>
      </c>
    </row>
    <row r="28" spans="1:15" ht="12.75">
      <c r="A28" s="69" t="s">
        <v>69</v>
      </c>
      <c r="B28" s="70" t="s">
        <v>70</v>
      </c>
      <c r="C28" s="70" t="s">
        <v>70</v>
      </c>
      <c r="D28" s="70" t="s">
        <v>71</v>
      </c>
      <c r="E28" s="57">
        <v>6</v>
      </c>
      <c r="F28" s="30">
        <v>4</v>
      </c>
      <c r="G28" s="30">
        <v>18</v>
      </c>
      <c r="H28" s="38">
        <v>40</v>
      </c>
      <c r="I28" s="38">
        <v>42</v>
      </c>
      <c r="J28" s="25" t="s">
        <v>61</v>
      </c>
      <c r="K28" s="25"/>
      <c r="L28" s="8">
        <v>27</v>
      </c>
      <c r="M28" s="8">
        <v>72</v>
      </c>
      <c r="N28" s="8">
        <v>117</v>
      </c>
      <c r="O28" s="1">
        <f t="shared" si="0"/>
        <v>72</v>
      </c>
    </row>
    <row r="29" spans="1:15" ht="12.75">
      <c r="A29" s="71">
        <v>1</v>
      </c>
      <c r="B29" s="72">
        <v>0.995</v>
      </c>
      <c r="C29" s="72">
        <v>0.996</v>
      </c>
      <c r="D29" s="73">
        <f aca="true" t="shared" si="1" ref="D29:D34">IF(FiltDirty_1-FiltClean_1&gt;0,FiltDirty_1-FiltClean_1,0)</f>
        <v>0.0010000000000000009</v>
      </c>
      <c r="E29" s="57">
        <v>7</v>
      </c>
      <c r="F29" s="30">
        <v>5</v>
      </c>
      <c r="G29" s="30">
        <v>19</v>
      </c>
      <c r="H29" s="38">
        <v>40</v>
      </c>
      <c r="I29" s="38">
        <v>41</v>
      </c>
      <c r="J29" s="25" t="s">
        <v>61</v>
      </c>
      <c r="K29" s="25"/>
      <c r="L29" s="8">
        <v>28</v>
      </c>
      <c r="M29" s="8">
        <v>73</v>
      </c>
      <c r="N29" s="8">
        <v>118</v>
      </c>
      <c r="O29" s="1">
        <f t="shared" si="0"/>
        <v>95</v>
      </c>
    </row>
    <row r="30" spans="1:15" ht="12.75">
      <c r="A30" s="71">
        <v>2</v>
      </c>
      <c r="B30" s="72">
        <v>0.989</v>
      </c>
      <c r="C30" s="72">
        <v>1.023</v>
      </c>
      <c r="D30" s="73">
        <f t="shared" si="1"/>
        <v>0.03399999999999992</v>
      </c>
      <c r="E30" s="57">
        <v>8</v>
      </c>
      <c r="F30" s="30">
        <v>5</v>
      </c>
      <c r="G30" s="30">
        <v>12</v>
      </c>
      <c r="H30" s="38">
        <v>40</v>
      </c>
      <c r="I30" s="38">
        <v>41</v>
      </c>
      <c r="J30" s="25" t="s">
        <v>61</v>
      </c>
      <c r="K30" s="25"/>
      <c r="L30" s="8">
        <v>29</v>
      </c>
      <c r="M30" s="8">
        <v>74</v>
      </c>
      <c r="N30" s="8">
        <v>119</v>
      </c>
      <c r="O30" s="1">
        <f t="shared" si="0"/>
        <v>60</v>
      </c>
    </row>
    <row r="31" spans="1:15" ht="12.75">
      <c r="A31" s="71">
        <v>3</v>
      </c>
      <c r="B31" s="72"/>
      <c r="C31" s="72"/>
      <c r="D31" s="73">
        <f t="shared" si="1"/>
        <v>0</v>
      </c>
      <c r="E31" s="57">
        <v>9</v>
      </c>
      <c r="F31" s="30">
        <v>5.5</v>
      </c>
      <c r="G31" s="30">
        <v>18</v>
      </c>
      <c r="H31" s="38">
        <v>41</v>
      </c>
      <c r="I31" s="38">
        <v>44</v>
      </c>
      <c r="J31" s="25" t="s">
        <v>61</v>
      </c>
      <c r="K31" s="25"/>
      <c r="L31" s="8">
        <v>30</v>
      </c>
      <c r="M31" s="8">
        <v>75</v>
      </c>
      <c r="N31" s="8">
        <v>120</v>
      </c>
      <c r="O31" s="1">
        <f t="shared" si="0"/>
        <v>99</v>
      </c>
    </row>
    <row r="32" spans="1:15" ht="12.75">
      <c r="A32" s="71">
        <v>4</v>
      </c>
      <c r="B32" s="72"/>
      <c r="C32" s="72"/>
      <c r="D32" s="73">
        <f t="shared" si="1"/>
        <v>0</v>
      </c>
      <c r="E32" s="57">
        <v>10</v>
      </c>
      <c r="F32" s="30">
        <v>3</v>
      </c>
      <c r="G32" s="30">
        <v>18</v>
      </c>
      <c r="H32" s="38">
        <v>41</v>
      </c>
      <c r="I32" s="38">
        <v>37</v>
      </c>
      <c r="J32" s="25" t="s">
        <v>61</v>
      </c>
      <c r="K32" s="25"/>
      <c r="L32" s="8">
        <v>31</v>
      </c>
      <c r="M32" s="8">
        <v>76</v>
      </c>
      <c r="N32" s="8">
        <v>121</v>
      </c>
      <c r="O32" s="1">
        <f t="shared" si="0"/>
        <v>54</v>
      </c>
    </row>
    <row r="33" spans="1:15" ht="12.75">
      <c r="A33" s="71">
        <v>5</v>
      </c>
      <c r="B33" s="72"/>
      <c r="C33" s="72"/>
      <c r="D33" s="73">
        <f t="shared" si="1"/>
        <v>0</v>
      </c>
      <c r="E33" s="57">
        <v>11</v>
      </c>
      <c r="F33" s="30"/>
      <c r="G33" s="30"/>
      <c r="H33" s="38"/>
      <c r="I33" s="38"/>
      <c r="J33" s="25"/>
      <c r="K33" s="25"/>
      <c r="L33" s="8">
        <v>32</v>
      </c>
      <c r="M33" s="8">
        <v>77</v>
      </c>
      <c r="N33" s="8">
        <v>122</v>
      </c>
      <c r="O33" s="1">
        <f t="shared" si="0"/>
        <v>0</v>
      </c>
    </row>
    <row r="34" spans="1:15" ht="12.75">
      <c r="A34" s="71">
        <v>6</v>
      </c>
      <c r="B34" s="72"/>
      <c r="C34" s="72"/>
      <c r="D34" s="73">
        <f t="shared" si="1"/>
        <v>0</v>
      </c>
      <c r="E34" s="57">
        <v>12</v>
      </c>
      <c r="F34" s="30"/>
      <c r="G34" s="30"/>
      <c r="H34" s="38"/>
      <c r="I34" s="38"/>
      <c r="J34" s="25"/>
      <c r="K34" s="25"/>
      <c r="L34" s="8">
        <v>33</v>
      </c>
      <c r="M34" s="8">
        <v>78</v>
      </c>
      <c r="N34" s="8">
        <v>123</v>
      </c>
      <c r="O34" s="1">
        <f t="shared" si="0"/>
        <v>0</v>
      </c>
    </row>
    <row r="35" spans="1:15" ht="12.75">
      <c r="A35" s="74" t="s">
        <v>72</v>
      </c>
      <c r="B35" s="72"/>
      <c r="C35" s="72"/>
      <c r="D35" s="73"/>
      <c r="E35" s="57">
        <v>13</v>
      </c>
      <c r="F35" s="30"/>
      <c r="G35" s="30"/>
      <c r="H35" s="38"/>
      <c r="I35" s="38"/>
      <c r="J35" s="25"/>
      <c r="K35" s="25"/>
      <c r="L35" s="8">
        <v>34</v>
      </c>
      <c r="M35" s="8">
        <v>79</v>
      </c>
      <c r="N35" s="8">
        <v>124</v>
      </c>
      <c r="O35" s="1">
        <f t="shared" si="0"/>
        <v>0</v>
      </c>
    </row>
    <row r="36" spans="1:15" ht="12.75">
      <c r="A36" s="75" t="s">
        <v>73</v>
      </c>
      <c r="B36" s="76">
        <v>0</v>
      </c>
      <c r="C36" s="76">
        <v>0</v>
      </c>
      <c r="D36" s="77"/>
      <c r="E36" s="57">
        <v>14</v>
      </c>
      <c r="F36" s="30"/>
      <c r="G36" s="30"/>
      <c r="H36" s="38"/>
      <c r="I36" s="38"/>
      <c r="J36" s="25"/>
      <c r="K36" s="25"/>
      <c r="L36" s="8">
        <v>35</v>
      </c>
      <c r="M36" s="8">
        <v>80</v>
      </c>
      <c r="N36" s="8">
        <v>125</v>
      </c>
      <c r="O36" s="1">
        <f t="shared" si="0"/>
        <v>0</v>
      </c>
    </row>
    <row r="37" spans="1:15" ht="12.75">
      <c r="A37" s="78"/>
      <c r="B37" s="73" t="s">
        <v>74</v>
      </c>
      <c r="C37" s="73"/>
      <c r="D37" s="73">
        <f>+COUNT(FiltClean_1)*(AVERAGE(CleanControl_1)-AVERAGE(DirtyControl_1))</f>
        <v>0</v>
      </c>
      <c r="E37" s="57">
        <v>15</v>
      </c>
      <c r="L37" s="8">
        <v>36</v>
      </c>
      <c r="M37" s="8">
        <v>81</v>
      </c>
      <c r="N37" s="8">
        <v>126</v>
      </c>
      <c r="O37" s="1">
        <f t="shared" si="0"/>
        <v>0</v>
      </c>
    </row>
    <row r="38" spans="1:15" ht="12.75">
      <c r="A38" s="78"/>
      <c r="B38" s="79" t="s">
        <v>75</v>
      </c>
      <c r="C38" s="80"/>
      <c r="D38" s="81">
        <f>SUM(D29:D34)+D37</f>
        <v>0.03499999999999992</v>
      </c>
      <c r="E38" s="57">
        <v>16</v>
      </c>
      <c r="L38" s="8">
        <v>37</v>
      </c>
      <c r="M38" s="8">
        <v>82</v>
      </c>
      <c r="N38" s="8">
        <v>127</v>
      </c>
      <c r="O38" s="1">
        <f t="shared" si="0"/>
        <v>0</v>
      </c>
    </row>
    <row r="39" spans="1:15" ht="12.75">
      <c r="A39" s="82"/>
      <c r="B39" s="83"/>
      <c r="C39" s="83"/>
      <c r="D39" s="84"/>
      <c r="E39" s="57">
        <v>17</v>
      </c>
      <c r="L39" s="8">
        <v>38</v>
      </c>
      <c r="M39" s="8">
        <v>83</v>
      </c>
      <c r="N39" s="8">
        <v>128</v>
      </c>
      <c r="O39" s="1">
        <f t="shared" si="0"/>
        <v>0</v>
      </c>
    </row>
    <row r="40" spans="1:15" ht="12.75">
      <c r="A40" s="85"/>
      <c r="B40" s="85"/>
      <c r="C40" s="85"/>
      <c r="D40" s="85"/>
      <c r="E40" s="57">
        <v>18</v>
      </c>
      <c r="F40" s="30"/>
      <c r="G40" s="30"/>
      <c r="H40" s="38"/>
      <c r="I40" s="38"/>
      <c r="J40" s="25"/>
      <c r="K40" s="25"/>
      <c r="L40" s="8">
        <v>39</v>
      </c>
      <c r="M40" s="8">
        <v>84</v>
      </c>
      <c r="N40" s="8">
        <v>129</v>
      </c>
      <c r="O40" s="1">
        <f t="shared" si="0"/>
        <v>0</v>
      </c>
    </row>
    <row r="41" spans="1:15" ht="12.75">
      <c r="A41" s="85"/>
      <c r="B41" s="85"/>
      <c r="C41" s="85"/>
      <c r="D41" s="85"/>
      <c r="E41" s="57">
        <v>19</v>
      </c>
      <c r="F41" s="30"/>
      <c r="G41" s="30"/>
      <c r="H41" s="38"/>
      <c r="I41" s="38"/>
      <c r="J41" s="25"/>
      <c r="K41" s="25"/>
      <c r="L41" s="8">
        <v>40</v>
      </c>
      <c r="M41" s="8">
        <v>85</v>
      </c>
      <c r="N41" s="8">
        <v>130</v>
      </c>
      <c r="O41" s="1">
        <f t="shared" si="0"/>
        <v>0</v>
      </c>
    </row>
    <row r="42" spans="1:15" ht="12.75">
      <c r="A42" s="85"/>
      <c r="B42" s="85"/>
      <c r="C42" s="85"/>
      <c r="D42" s="85"/>
      <c r="E42" s="57">
        <v>20</v>
      </c>
      <c r="F42" s="30"/>
      <c r="G42" s="30"/>
      <c r="H42" s="38"/>
      <c r="I42" s="38"/>
      <c r="J42" s="25"/>
      <c r="K42" s="25"/>
      <c r="L42" s="8">
        <v>41</v>
      </c>
      <c r="M42" s="8">
        <v>86</v>
      </c>
      <c r="N42" s="8">
        <v>131</v>
      </c>
      <c r="O42" s="1">
        <f t="shared" si="0"/>
        <v>0</v>
      </c>
    </row>
    <row r="43" spans="1:14" ht="12.75">
      <c r="A43" s="82"/>
      <c r="B43" s="82"/>
      <c r="C43" s="82"/>
      <c r="D43" s="82"/>
      <c r="G43" t="s">
        <v>76</v>
      </c>
      <c r="H43" s="1">
        <v>1</v>
      </c>
      <c r="I43" s="1" t="s">
        <v>77</v>
      </c>
      <c r="L43" s="8">
        <v>42</v>
      </c>
      <c r="M43" s="8">
        <v>87</v>
      </c>
      <c r="N43" s="8">
        <v>132</v>
      </c>
    </row>
    <row r="44" spans="1:14" ht="12.75">
      <c r="A44" s="85"/>
      <c r="B44" s="82"/>
      <c r="C44" s="82"/>
      <c r="D44" s="82"/>
      <c r="F44"/>
      <c r="H44" s="1">
        <v>2</v>
      </c>
      <c r="I44" s="1" t="s">
        <v>78</v>
      </c>
      <c r="L44" s="8">
        <v>43</v>
      </c>
      <c r="M44" s="8">
        <v>88</v>
      </c>
      <c r="N44" s="8">
        <v>133</v>
      </c>
    </row>
    <row r="45" spans="1:14" ht="12.75">
      <c r="A45" s="85"/>
      <c r="B45" s="82"/>
      <c r="C45" s="82"/>
      <c r="D45" s="82"/>
      <c r="E45" s="1" t="s">
        <v>75</v>
      </c>
      <c r="F45" s="86">
        <f>SUM(F23:F36)</f>
        <v>47.75</v>
      </c>
      <c r="H45" s="1">
        <v>3</v>
      </c>
      <c r="I45" s="1" t="s">
        <v>79</v>
      </c>
      <c r="L45" s="8">
        <v>44</v>
      </c>
      <c r="M45" s="8">
        <v>89</v>
      </c>
      <c r="N45" s="8">
        <v>134</v>
      </c>
    </row>
    <row r="46" spans="1:14" ht="12.75">
      <c r="A46" s="85"/>
      <c r="B46" s="82"/>
      <c r="C46" s="82"/>
      <c r="D46" s="82"/>
      <c r="F46"/>
      <c r="H46" s="1">
        <v>4</v>
      </c>
      <c r="I46" s="1" t="s">
        <v>80</v>
      </c>
      <c r="L46" s="8">
        <v>45</v>
      </c>
      <c r="M46" s="8">
        <v>90</v>
      </c>
      <c r="N46" s="8">
        <v>135</v>
      </c>
    </row>
    <row r="47" spans="1:9" ht="12.75">
      <c r="A47" s="85"/>
      <c r="B47" s="85"/>
      <c r="C47" s="85"/>
      <c r="D47" s="85"/>
      <c r="H47" s="1">
        <v>5</v>
      </c>
      <c r="I47" s="1" t="s">
        <v>81</v>
      </c>
    </row>
    <row r="48" ht="12.75"/>
    <row r="49" ht="12.75"/>
    <row r="50" spans="1:4" ht="12.75">
      <c r="A50" s="3"/>
      <c r="B50" s="3"/>
      <c r="C50" s="3"/>
      <c r="D50" s="3"/>
    </row>
    <row r="51" spans="1:4" ht="12.75">
      <c r="A51" s="3"/>
      <c r="B51" s="3"/>
      <c r="C51" s="3"/>
      <c r="D51" s="3"/>
    </row>
    <row r="52" spans="1:4" ht="12.75">
      <c r="A52" s="3"/>
      <c r="B52" s="3"/>
      <c r="C52" s="3"/>
      <c r="D52" s="3"/>
    </row>
    <row r="53" spans="1:4" ht="12.75">
      <c r="A53" s="3"/>
      <c r="B53" s="3"/>
      <c r="C53" s="3"/>
      <c r="D53" s="3"/>
    </row>
    <row r="54" spans="1:4" ht="12.75">
      <c r="A54" s="3"/>
      <c r="B54" s="3"/>
      <c r="C54" s="3"/>
      <c r="D54" s="3"/>
    </row>
    <row r="55" spans="1:8" ht="12.75">
      <c r="A55" s="3"/>
      <c r="B55" s="3"/>
      <c r="C55" s="3"/>
      <c r="D55" s="3"/>
      <c r="E55" s="3"/>
      <c r="F55" s="3"/>
      <c r="G55" s="3"/>
      <c r="H55" s="3"/>
    </row>
  </sheetData>
  <sheetProtection selectLockedCells="1" selectUnlockedCells="1"/>
  <mergeCells count="5">
    <mergeCell ref="A1:J1"/>
    <mergeCell ref="I8:J8"/>
    <mergeCell ref="E10:H10"/>
    <mergeCell ref="E14:J14"/>
    <mergeCell ref="E21:I21"/>
  </mergeCells>
  <printOptions gridLines="1" horizontalCentered="1" verticalCentered="1"/>
  <pageMargins left="0.75" right="0.75" top="0.5902777777777778" bottom="0.6201388888888889" header="0.5" footer="0.5118055555555555"/>
  <pageSetup horizontalDpi="300" verticalDpi="300" orientation="portrait" scale="90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Boris Kukolj</cp:lastModifiedBy>
  <cp:lastPrinted>2010-01-15T18:52:17Z</cp:lastPrinted>
  <dcterms:created xsi:type="dcterms:W3CDTF">2005-03-05T21:24:09Z</dcterms:created>
  <dcterms:modified xsi:type="dcterms:W3CDTF">2014-06-13T06:52:00Z</dcterms:modified>
  <cp:category/>
  <cp:version/>
  <cp:contentType/>
  <cp:contentStatus/>
  <cp:revision>11</cp:revision>
</cp:coreProperties>
</file>