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<sst xmlns="http://schemas.openxmlformats.org/spreadsheetml/2006/main" count="93" uniqueCount="83">
  <si>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</si>
  <si>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</si>
  <si>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</si>
  <si>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</si>
  <si>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</si>
  <si>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</si>
  <si>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</si>
  <si>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</si>
  <si>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</si>
  <si>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</si>
  <si>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</si>
  <si>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</si>
  <si>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</si>
  <si>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</si>
  <si>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</si>
  <si>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</si>
  <si>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</si>
  <si>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</si>
  <si>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</si>
  <si>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</si>
  <si>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</si>
  <si>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</si>
  <si>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</si>
  <si>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</si>
  <si>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</si>
  <si>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</si>
  <si>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</si>
  <si>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</si>
  <si>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</si>
  <si>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</si>
  <si>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</si>
  <si>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</si>
  <si>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</si>
  <si>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</si>
  <si>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</si>
  <si>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</si>
  <si>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</si>
  <si>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</si>
  <si>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</si>
  <si>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</si>
  <si>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</si>
  <si>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</si>
  <si>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</si>
  <si>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</si>
  <si>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</si>
  <si>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</si>
  <si>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</si>
  <si>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</si>
  <si>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</si>
  <si>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</si>
  <si>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</si>
  <si>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</si>
  <si>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</si>
  <si>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</si>
  <si>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</si>
  <si>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</si>
  <si>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</si>
  <si>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</si>
  <si>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</si>
  <si>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</si>
  <si>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</si>
  <si>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</si>
  <si>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</si>
  <si>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</si>
  <si>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</si>
  <si>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</si>
  <si>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</si>
  <si>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</si>
  <si>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</si>
  <si>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</si>
  <si>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</si>
  <si>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birch</t>
  </si>
  <si>
    <t>oak</t>
  </si>
  <si>
    <t>wood</t>
  </si>
  <si>
    <t>MHA</t>
  </si>
  <si>
    <t>Revised Feb 18/16</t>
  </si>
  <si>
    <t>MHA1624</t>
  </si>
  <si>
    <t>22hrs</t>
  </si>
  <si>
    <t>cloudy</t>
  </si>
  <si>
    <t>08:54am</t>
  </si>
  <si>
    <t>MHA mod, chimney extension</t>
  </si>
  <si>
    <t>baffle, solid support, 25% air restriction</t>
  </si>
  <si>
    <t>birch/oak mix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</si>
</sst>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13" sqref="G13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67</v>
      </c>
      <c r="M1" s="18"/>
      <c r="N1" s="44"/>
    </row>
    <row r="2" spans="1:17" outlineLevel="1">
      <c r="A2" s="1" t="s">
        <v>75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76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55</v>
      </c>
      <c r="B4" s="80"/>
      <c r="C4" s="81">
        <f>(SUM(scratch1)+WtKindl*15.5)/WtFuel</f>
        <v>17.350793650793648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54</v>
      </c>
      <c r="B5" s="80"/>
      <c r="C5" s="81">
        <f>SUM(PcWt)+WtKindl-UnburnedFuel</f>
        <v>63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53</v>
      </c>
      <c r="B6" s="80"/>
      <c r="C6" s="82">
        <f>KindlingWeight</f>
        <v>3</v>
      </c>
      <c r="D6" s="20"/>
      <c r="E6" s="17" t="s">
        <v>30</v>
      </c>
      <c r="F6" s="18"/>
      <c r="G6" s="55" t="s">
        <v>74</v>
      </c>
      <c r="H6" s="17" t="s">
        <v>3</v>
      </c>
      <c r="I6" s="18"/>
      <c r="J6" s="53">
        <v>42437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37</v>
      </c>
      <c r="B7" s="80"/>
      <c r="C7" s="82">
        <f>COUNT(PcWt)</f>
        <v>10</v>
      </c>
      <c r="D7" s="20"/>
      <c r="E7" s="2" t="s">
        <v>5</v>
      </c>
      <c r="F7" s="2"/>
      <c r="G7" s="54" t="s">
        <v>77</v>
      </c>
      <c r="H7" s="14" t="s">
        <v>63</v>
      </c>
      <c r="I7" s="2"/>
      <c r="J7" s="52">
        <v>35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38</v>
      </c>
      <c r="B8" s="80"/>
      <c r="C8" s="83" t="e">
        <f>(AVERAGE(Length)+SUM(Circumf))/(WtFuel-WtKindl)</f>
        <v>#DIV/0!</v>
      </c>
      <c r="D8" s="20"/>
      <c r="E8" s="1" t="s">
        <v>69</v>
      </c>
      <c r="G8" s="54">
        <v>152</v>
      </c>
      <c r="H8" s="21" t="s">
        <v>7</v>
      </c>
      <c r="I8" s="95" t="s">
        <v>78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52</v>
      </c>
      <c r="B9" s="80"/>
      <c r="C9" s="81">
        <f>AVERAGE(PcWt)</f>
        <v>6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0" t="s">
        <v>56</v>
      </c>
      <c r="B10" s="80"/>
      <c r="C10" s="88">
        <v>1.5</v>
      </c>
      <c r="D10" s="20"/>
      <c r="E10" s="89" t="s">
        <v>66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57</v>
      </c>
      <c r="B11" s="80"/>
      <c r="C11" s="84">
        <f>StackTemp</f>
        <v>268.99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39</v>
      </c>
      <c r="B12" s="80"/>
      <c r="C12" s="83">
        <f>F12</f>
        <v>15.6</v>
      </c>
      <c r="D12" s="20"/>
      <c r="E12" s="54">
        <v>268.99</v>
      </c>
      <c r="F12" s="59">
        <v>15.6</v>
      </c>
      <c r="G12" s="71">
        <v>391</v>
      </c>
      <c r="H12" s="52"/>
      <c r="I12" s="79" t="s">
        <v>79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40</v>
      </c>
      <c r="B13" s="80"/>
      <c r="C13" s="83">
        <f>AVERAGE(ppm_CO)/10000</f>
        <v>3.9100000000000003E-2</v>
      </c>
      <c r="D13" s="20"/>
      <c r="E13" s="60"/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59</v>
      </c>
      <c r="B14" s="80"/>
      <c r="C14" s="83">
        <f>SQRT(528/(460+StackTemp))</f>
        <v>0.85105215514605725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41</v>
      </c>
      <c r="B15" s="80"/>
      <c r="C15" s="85">
        <f>20.9/(20.9-_AvO2)</f>
        <v>3.943396226415095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42</v>
      </c>
      <c r="B16" s="80"/>
      <c r="C16" s="83">
        <f>((WtFuel-(UnburnedFuel*(1+AvMoisture/100)))/RunLength)*(1-(AvMoisture/100))/2.2</f>
        <v>15.778484848484846</v>
      </c>
      <c r="D16" s="20"/>
      <c r="E16" s="1" t="s">
        <v>10</v>
      </c>
      <c r="G16" s="69" t="s">
        <v>73</v>
      </c>
      <c r="H16" s="63" t="s">
        <v>80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61</v>
      </c>
      <c r="B17" s="80"/>
      <c r="C17" s="83">
        <f>(8.05+0.0035*(StackTemp-70))+(2.58+0.00114*StackTemp)</f>
        <v>11.633113600000001</v>
      </c>
      <c r="D17" s="20"/>
      <c r="E17" s="20"/>
      <c r="F17" s="20"/>
      <c r="G17" s="20"/>
      <c r="H17" s="66" t="s">
        <v>81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43</v>
      </c>
      <c r="B18" s="80"/>
      <c r="C18" s="83">
        <f>gmKgCO*9.75/86</f>
        <v>1.0365924270513387</v>
      </c>
      <c r="D18" s="20"/>
      <c r="E18" s="2" t="s">
        <v>11</v>
      </c>
      <c r="F18" s="2"/>
      <c r="G18" s="77">
        <v>3</v>
      </c>
      <c r="H18" s="66" t="s">
        <v>82</v>
      </c>
      <c r="I18" s="64"/>
      <c r="J18" s="65"/>
      <c r="L18" s="56">
        <v>17</v>
      </c>
      <c r="M18" s="56">
        <v>62</v>
      </c>
      <c r="N18" s="56">
        <v>107</v>
      </c>
    </row>
    <row r="19" spans="1:15">
      <c r="A19" s="80" t="s">
        <v>44</v>
      </c>
      <c r="B19" s="80"/>
      <c r="C19" s="83">
        <f>gmKgCondar*33/86</f>
        <v>0.49636786958007711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45</v>
      </c>
      <c r="B20" s="80"/>
      <c r="C20" s="83">
        <f>((1.5*DilutionFactor*(StackTemp-70))/8600)*100</f>
        <v>13.686565379552437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58</v>
      </c>
      <c r="B21" s="87"/>
      <c r="C21" s="87">
        <f xml:space="preserve"> Catch</f>
        <v>5.5099999999999927E-2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48</v>
      </c>
      <c r="B22" s="80"/>
      <c r="C22" s="83">
        <f>100-COLoss-HCLoss</f>
        <v>98.467039703368584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70</v>
      </c>
    </row>
    <row r="23" spans="1:15">
      <c r="A23" s="80" t="s">
        <v>49</v>
      </c>
      <c r="B23" s="80"/>
      <c r="C23" s="83">
        <f>100-DryGasLoss-BoilWaterLoss</f>
        <v>74.680321020447565</v>
      </c>
      <c r="D23" s="20"/>
      <c r="E23" s="57">
        <v>1</v>
      </c>
      <c r="F23" s="59">
        <v>9.4</v>
      </c>
      <c r="G23" s="59">
        <v>17.7</v>
      </c>
      <c r="H23" s="71"/>
      <c r="I23" s="71"/>
      <c r="J23" s="54" t="s">
        <v>72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166.38</v>
      </c>
    </row>
    <row r="24" spans="1:15">
      <c r="A24" s="28" t="s">
        <v>46</v>
      </c>
      <c r="B24" s="29"/>
      <c r="C24" s="30">
        <f>(Catch/RunLength)*3.04*(DilutionFactor)/(0.4*StackTempFactor)</f>
        <v>1.2935647510268675</v>
      </c>
      <c r="D24" s="20"/>
      <c r="E24" s="57">
        <v>2</v>
      </c>
      <c r="F24" s="59">
        <v>9.3000000000000007</v>
      </c>
      <c r="G24" s="59">
        <v>19.7</v>
      </c>
      <c r="H24" s="71"/>
      <c r="I24" s="71"/>
      <c r="J24" s="54" t="s">
        <v>72</v>
      </c>
      <c r="K24" s="54"/>
      <c r="L24" s="56">
        <v>23</v>
      </c>
      <c r="M24" s="56">
        <v>68</v>
      </c>
      <c r="N24" s="56">
        <v>113</v>
      </c>
      <c r="O24" s="1">
        <f t="shared" si="0"/>
        <v>183.21</v>
      </c>
    </row>
    <row r="25" spans="1:15">
      <c r="A25" s="31" t="s">
        <v>47</v>
      </c>
      <c r="B25" s="32"/>
      <c r="C25" s="33">
        <f>59.3*AvCO*DilutionFactor</f>
        <v>9.1432767924528324</v>
      </c>
      <c r="D25" s="20"/>
      <c r="E25" s="57">
        <v>3</v>
      </c>
      <c r="F25" s="59">
        <v>6.3</v>
      </c>
      <c r="G25" s="59">
        <v>15.5</v>
      </c>
      <c r="H25" s="71"/>
      <c r="I25" s="71"/>
      <c r="J25" s="54" t="s">
        <v>71</v>
      </c>
      <c r="K25" s="54"/>
      <c r="L25" s="56">
        <v>24</v>
      </c>
      <c r="M25" s="56">
        <v>69</v>
      </c>
      <c r="N25" s="56">
        <v>114</v>
      </c>
      <c r="O25" s="1">
        <f t="shared" si="0"/>
        <v>97.649999999999991</v>
      </c>
    </row>
    <row r="26" spans="1:15">
      <c r="A26" s="34" t="s">
        <v>50</v>
      </c>
      <c r="B26" s="35"/>
      <c r="C26" s="36">
        <f>HTransEffic*CombustEffic/100</f>
        <v>73.53550134980722</v>
      </c>
      <c r="E26" s="57">
        <v>4</v>
      </c>
      <c r="F26" s="59">
        <v>5.9</v>
      </c>
      <c r="G26" s="59">
        <v>17.7</v>
      </c>
      <c r="H26" s="71"/>
      <c r="I26" s="71"/>
      <c r="J26" s="54" t="s">
        <v>72</v>
      </c>
      <c r="K26" s="54"/>
      <c r="L26" s="56">
        <v>25</v>
      </c>
      <c r="M26" s="56">
        <v>70</v>
      </c>
      <c r="N26" s="56">
        <v>115</v>
      </c>
      <c r="O26" s="1">
        <f t="shared" si="0"/>
        <v>104.43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5.5</v>
      </c>
      <c r="G27" s="59">
        <v>14.3</v>
      </c>
      <c r="H27" s="71"/>
      <c r="I27" s="71"/>
      <c r="J27" s="54" t="s">
        <v>71</v>
      </c>
      <c r="K27" s="54"/>
      <c r="L27" s="56">
        <v>26</v>
      </c>
      <c r="M27" s="56">
        <v>71</v>
      </c>
      <c r="N27" s="56">
        <v>116</v>
      </c>
      <c r="O27" s="1">
        <f t="shared" si="0"/>
        <v>78.650000000000006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5.5</v>
      </c>
      <c r="G28" s="59">
        <v>18.3</v>
      </c>
      <c r="H28" s="71"/>
      <c r="I28" s="71"/>
      <c r="J28" s="54" t="s">
        <v>72</v>
      </c>
      <c r="K28" s="54"/>
      <c r="L28" s="56">
        <v>27</v>
      </c>
      <c r="M28" s="56">
        <v>72</v>
      </c>
      <c r="N28" s="56">
        <v>117</v>
      </c>
      <c r="O28" s="1">
        <f t="shared" si="0"/>
        <v>100.65</v>
      </c>
    </row>
    <row r="29" spans="1:15">
      <c r="A29" s="11">
        <v>1</v>
      </c>
      <c r="B29" s="25">
        <v>1.0198</v>
      </c>
      <c r="C29" s="25">
        <v>1.0722</v>
      </c>
      <c r="D29" s="4">
        <f t="shared" ref="D29:D34" si="1">IF(FiltDirty-FiltClean&gt;0,FiltDirty-FiltClean,0)</f>
        <v>5.2400000000000002E-2</v>
      </c>
      <c r="E29" s="57">
        <v>7</v>
      </c>
      <c r="F29" s="59">
        <v>5</v>
      </c>
      <c r="G29" s="59">
        <v>19.100000000000001</v>
      </c>
      <c r="H29" s="71"/>
      <c r="I29" s="71"/>
      <c r="J29" s="54" t="s">
        <v>72</v>
      </c>
      <c r="K29" s="54"/>
      <c r="L29" s="56">
        <v>28</v>
      </c>
      <c r="M29" s="56">
        <v>73</v>
      </c>
      <c r="N29" s="56">
        <v>118</v>
      </c>
      <c r="O29" s="1">
        <f t="shared" si="0"/>
        <v>95.5</v>
      </c>
    </row>
    <row r="30" spans="1:15">
      <c r="A30" s="11">
        <v>2</v>
      </c>
      <c r="B30" s="25">
        <v>1.0154000000000001</v>
      </c>
      <c r="C30" s="25">
        <v>1.0181</v>
      </c>
      <c r="D30" s="4">
        <f t="shared" si="1"/>
        <v>2.6999999999999247E-3</v>
      </c>
      <c r="E30" s="57">
        <v>8</v>
      </c>
      <c r="F30" s="59">
        <v>4.9000000000000004</v>
      </c>
      <c r="G30" s="59">
        <v>14.3</v>
      </c>
      <c r="H30" s="71"/>
      <c r="I30" s="71"/>
      <c r="J30" s="54" t="s">
        <v>71</v>
      </c>
      <c r="K30" s="54"/>
      <c r="L30" s="56">
        <v>29</v>
      </c>
      <c r="M30" s="56">
        <v>74</v>
      </c>
      <c r="N30" s="56">
        <v>119</v>
      </c>
      <c r="O30" s="1">
        <f t="shared" si="0"/>
        <v>70.070000000000007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4.3</v>
      </c>
      <c r="G31" s="59">
        <v>18.3</v>
      </c>
      <c r="H31" s="71"/>
      <c r="I31" s="71"/>
      <c r="J31" s="54" t="s">
        <v>72</v>
      </c>
      <c r="K31" s="54"/>
      <c r="L31" s="56">
        <v>30</v>
      </c>
      <c r="M31" s="56">
        <v>75</v>
      </c>
      <c r="N31" s="56">
        <v>120</v>
      </c>
      <c r="O31" s="1">
        <f t="shared" si="0"/>
        <v>78.69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3.9</v>
      </c>
      <c r="G32" s="59">
        <v>18.3</v>
      </c>
      <c r="H32" s="71"/>
      <c r="I32" s="71"/>
      <c r="J32" s="54" t="s">
        <v>72</v>
      </c>
      <c r="K32" s="54"/>
      <c r="L32" s="56">
        <v>31</v>
      </c>
      <c r="M32" s="56">
        <v>76</v>
      </c>
      <c r="N32" s="56">
        <v>121</v>
      </c>
      <c r="O32" s="1">
        <f t="shared" si="0"/>
        <v>71.37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1.014</v>
      </c>
      <c r="C35" s="25">
        <v>1.014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0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5.5099999999999927E-2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2016-03-11T20:33:35Z</dcterms:modified>
</cp:coreProperties>
</file>