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<sst xmlns="http://schemas.openxmlformats.org/spreadsheetml/2006/main" count="93" uniqueCount="85">
  <si>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</si>
  <si>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</si>
  <si>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</si>
  <si>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</si>
  <si>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</si>
  <si>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</si>
  <si>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</si>
  <si>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</si>
  <si>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</si>
  <si>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</si>
  <si>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</si>
  <si>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</si>
  <si>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</si>
  <si>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</si>
  <si>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</si>
  <si>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</si>
  <si>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</si>
  <si>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</si>
  <si>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</si>
  <si>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</si>
  <si>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</si>
  <si>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</si>
  <si>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</si>
  <si>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</si>
  <si>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</si>
  <si>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</si>
  <si>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</si>
  <si>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</si>
  <si>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</si>
  <si>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</si>
  <si>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</si>
  <si>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</si>
  <si>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</si>
  <si>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</si>
  <si>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</si>
  <si>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</si>
  <si>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</si>
  <si>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</si>
  <si>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</si>
  <si>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</si>
  <si>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</si>
  <si>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</si>
  <si>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</si>
  <si>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</si>
  <si>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</si>
  <si>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</si>
  <si>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</si>
  <si>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</si>
  <si>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</si>
  <si>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</si>
  <si>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</si>
  <si>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</si>
  <si>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</si>
  <si>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</si>
  <si>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</si>
  <si>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</si>
  <si>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</si>
  <si>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</si>
  <si>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</si>
  <si>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</si>
  <si>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</si>
  <si>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</si>
  <si>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</si>
  <si>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</si>
  <si>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</si>
  <si>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</si>
  <si>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</si>
  <si>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</si>
  <si>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</si>
  <si>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</si>
  <si>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</si>
  <si>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</si>
  <si>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</si>
  <si>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maple</t>
  </si>
  <si>
    <t>birch</t>
  </si>
  <si>
    <t>beech</t>
  </si>
  <si>
    <t>oak</t>
  </si>
  <si>
    <t>wood</t>
  </si>
  <si>
    <t>MHA</t>
  </si>
  <si>
    <t>white birch mix</t>
  </si>
  <si>
    <t>18hrs</t>
  </si>
  <si>
    <t>cloudy, light snow</t>
  </si>
  <si>
    <t>0900am</t>
  </si>
  <si>
    <t>MHA baffle, glass removed</t>
  </si>
  <si>
    <t>MHA 1605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</si>
</sst>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0" zoomScaleNormal="80" workbookViewId="0">
      <selection activeCell="T8" sqref="T8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5"/>
      <c r="K1" s="2"/>
      <c r="L1" s="43" t="s">
        <v>67</v>
      </c>
      <c r="M1" s="18"/>
      <c r="N1" s="44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84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7" t="s">
        <v>55</v>
      </c>
      <c r="B4" s="87"/>
      <c r="C4" s="88">
        <f>(SUM(scratch1)+WtKindl*15.5)/WtFuel</f>
        <v>16.555138662316477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7" t="s">
        <v>54</v>
      </c>
      <c r="B5" s="87"/>
      <c r="C5" s="88">
        <f>SUM(PcWt)+WtKindl-UnburnedFuel</f>
        <v>61.3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7" t="s">
        <v>53</v>
      </c>
      <c r="B6" s="87"/>
      <c r="C6" s="89">
        <f>KindlingWeight</f>
        <v>1.3</v>
      </c>
      <c r="D6" s="20"/>
      <c r="E6" s="17" t="s">
        <v>30</v>
      </c>
      <c r="F6" s="18"/>
      <c r="G6" s="55" t="s">
        <v>78</v>
      </c>
      <c r="H6" s="17" t="s">
        <v>3</v>
      </c>
      <c r="I6" s="18"/>
      <c r="J6" s="53">
        <v>42409</v>
      </c>
      <c r="K6"/>
      <c r="L6" s="56">
        <v>5</v>
      </c>
      <c r="M6" s="56">
        <v>50</v>
      </c>
      <c r="N6" s="56">
        <v>95</v>
      </c>
    </row>
    <row r="7" spans="1:17" outlineLevel="1">
      <c r="A7" s="87" t="s">
        <v>37</v>
      </c>
      <c r="B7" s="87"/>
      <c r="C7" s="89">
        <f>COUNT(PcWt)</f>
        <v>10</v>
      </c>
      <c r="D7" s="20"/>
      <c r="E7" s="2" t="s">
        <v>5</v>
      </c>
      <c r="F7" s="2"/>
      <c r="G7" s="54" t="s">
        <v>80</v>
      </c>
      <c r="H7" s="14" t="s">
        <v>63</v>
      </c>
      <c r="I7" s="2"/>
      <c r="J7" s="52">
        <v>18</v>
      </c>
      <c r="K7"/>
      <c r="L7" s="56">
        <v>6</v>
      </c>
      <c r="M7" s="56">
        <v>51</v>
      </c>
      <c r="N7" s="56">
        <v>96</v>
      </c>
    </row>
    <row r="8" spans="1:17" outlineLevel="1">
      <c r="A8" s="87" t="s">
        <v>38</v>
      </c>
      <c r="B8" s="87"/>
      <c r="C8" s="90" t="e">
        <f>(AVERAGE(Length)+SUM(Circumf))/(WtFuel-WtKindl)</f>
        <v>#DIV/0!</v>
      </c>
      <c r="D8" s="20"/>
      <c r="E8" s="1" t="s">
        <v>69</v>
      </c>
      <c r="G8" s="54">
        <v>284</v>
      </c>
      <c r="H8" s="21" t="s">
        <v>7</v>
      </c>
      <c r="I8" s="86" t="s">
        <v>81</v>
      </c>
      <c r="J8" s="86"/>
      <c r="K8"/>
      <c r="L8" s="56">
        <v>7</v>
      </c>
      <c r="M8" s="56">
        <v>52</v>
      </c>
      <c r="N8" s="56">
        <v>97</v>
      </c>
    </row>
    <row r="9" spans="1:17" outlineLevel="1">
      <c r="A9" s="87" t="s">
        <v>52</v>
      </c>
      <c r="B9" s="87"/>
      <c r="C9" s="88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7" t="s">
        <v>56</v>
      </c>
      <c r="B10" s="87"/>
      <c r="C10" s="95">
        <v>1.5</v>
      </c>
      <c r="D10" s="20"/>
      <c r="E10" s="80" t="s">
        <v>66</v>
      </c>
      <c r="F10" s="81"/>
      <c r="G10" s="81"/>
      <c r="H10" s="82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7" t="s">
        <v>57</v>
      </c>
      <c r="B11" s="87"/>
      <c r="C11" s="91">
        <f>StackTemp</f>
        <v>194.76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7" t="s">
        <v>39</v>
      </c>
      <c r="B12" s="87"/>
      <c r="C12" s="90">
        <f>F12</f>
        <v>11.65</v>
      </c>
      <c r="D12" s="20"/>
      <c r="E12" s="54">
        <v>194.76</v>
      </c>
      <c r="F12" s="59">
        <v>11.65</v>
      </c>
      <c r="G12" s="71">
        <v>1997.6</v>
      </c>
      <c r="H12" s="52">
        <v>70.7</v>
      </c>
      <c r="I12" s="79" t="s">
        <v>82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7" t="s">
        <v>40</v>
      </c>
      <c r="B13" s="87"/>
      <c r="C13" s="90">
        <f>AVERAGE(ppm_CO)/10000</f>
        <v>0.19975999999999999</v>
      </c>
      <c r="D13" s="20"/>
      <c r="E13" s="60" t="s">
        <v>70</v>
      </c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7" t="s">
        <v>59</v>
      </c>
      <c r="B14" s="87"/>
      <c r="C14" s="90">
        <f>SQRT(528/(460+StackTemp))</f>
        <v>0.89799907900717446</v>
      </c>
      <c r="D14" s="37"/>
      <c r="E14" s="80" t="s">
        <v>8</v>
      </c>
      <c r="F14" s="81"/>
      <c r="G14" s="81"/>
      <c r="H14" s="81"/>
      <c r="I14" s="81"/>
      <c r="J14" s="82"/>
      <c r="L14" s="56">
        <v>13</v>
      </c>
      <c r="M14" s="56">
        <v>58</v>
      </c>
      <c r="N14" s="56">
        <v>103</v>
      </c>
    </row>
    <row r="15" spans="1:17">
      <c r="A15" s="87" t="s">
        <v>41</v>
      </c>
      <c r="B15" s="87"/>
      <c r="C15" s="92">
        <f>20.9/(20.9-_AvO2)</f>
        <v>2.2594594594594599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7" t="s">
        <v>42</v>
      </c>
      <c r="B16" s="87"/>
      <c r="C16" s="90">
        <f>((WtFuel-(UnburnedFuel*(1+AvMoisture/100)))/RunLength)*(1-(AvMoisture/100))/2.2</f>
        <v>15.500515151515149</v>
      </c>
      <c r="D16" s="20"/>
      <c r="E16" s="1" t="s">
        <v>10</v>
      </c>
      <c r="G16" s="69" t="s">
        <v>77</v>
      </c>
      <c r="H16" s="63" t="s">
        <v>83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7" t="s">
        <v>61</v>
      </c>
      <c r="B17" s="87"/>
      <c r="C17" s="90">
        <f>(8.05+0.0035*(StackTemp-70))+(2.58+0.00114*StackTemp)</f>
        <v>11.2886864</v>
      </c>
      <c r="D17" s="20"/>
      <c r="E17" s="20"/>
      <c r="F17" s="20"/>
      <c r="G17" s="20"/>
      <c r="H17" s="66" t="s">
        <v>79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7" t="s">
        <v>43</v>
      </c>
      <c r="B18" s="87"/>
      <c r="C18" s="90">
        <f>gmKgCO*9.75/86</f>
        <v>3.0344077614079197</v>
      </c>
      <c r="D18" s="20"/>
      <c r="E18" s="2" t="s">
        <v>11</v>
      </c>
      <c r="F18" s="2"/>
      <c r="G18" s="77">
        <v>1.3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7" t="s">
        <v>44</v>
      </c>
      <c r="B19" s="87"/>
      <c r="C19" s="90">
        <f>gmKgCondar*33/86</f>
        <v>0.20741126514794436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7" t="s">
        <v>45</v>
      </c>
      <c r="B20" s="87"/>
      <c r="C20" s="90">
        <f>((1.5*DilutionFactor*(StackTemp-70))/8600)*100</f>
        <v>4.9166888749214337</v>
      </c>
      <c r="D20" s="20"/>
      <c r="L20" s="56">
        <v>19</v>
      </c>
      <c r="M20" s="56">
        <v>64</v>
      </c>
      <c r="N20" s="56">
        <v>109</v>
      </c>
    </row>
    <row r="21" spans="1:15">
      <c r="A21" s="93" t="s">
        <v>58</v>
      </c>
      <c r="B21" s="94"/>
      <c r="C21" s="94">
        <f xml:space="preserve"> Catch</f>
        <v>4.2399999999999993E-2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7" t="s">
        <v>48</v>
      </c>
      <c r="B22" s="87"/>
      <c r="C22" s="90">
        <f>100-COLoss-HCLoss</f>
        <v>96.758180973444141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71</v>
      </c>
    </row>
    <row r="23" spans="1:15">
      <c r="A23" s="87" t="s">
        <v>49</v>
      </c>
      <c r="B23" s="87"/>
      <c r="C23" s="90">
        <f>100-DryGasLoss-BoilWaterLoss</f>
        <v>83.794624725078563</v>
      </c>
      <c r="D23" s="20"/>
      <c r="E23" s="57">
        <v>1</v>
      </c>
      <c r="F23" s="59">
        <v>8</v>
      </c>
      <c r="G23" s="59">
        <v>14.5</v>
      </c>
      <c r="H23" s="71"/>
      <c r="I23" s="71"/>
      <c r="J23" s="54" t="s">
        <v>76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116</v>
      </c>
    </row>
    <row r="24" spans="1:15">
      <c r="A24" s="28" t="s">
        <v>46</v>
      </c>
      <c r="B24" s="29"/>
      <c r="C24" s="30">
        <f>(Catch/RunLength)*3.04*(DilutionFactor)/(0.4*StackTempFactor)</f>
        <v>0.54052632735524897</v>
      </c>
      <c r="D24" s="20"/>
      <c r="E24" s="57">
        <v>2</v>
      </c>
      <c r="F24" s="59">
        <v>7.1</v>
      </c>
      <c r="G24" s="59">
        <v>19.3</v>
      </c>
      <c r="H24" s="71"/>
      <c r="I24" s="71"/>
      <c r="J24" s="54" t="s">
        <v>75</v>
      </c>
      <c r="K24" s="54"/>
      <c r="L24" s="56">
        <v>23</v>
      </c>
      <c r="M24" s="56">
        <v>68</v>
      </c>
      <c r="N24" s="56">
        <v>113</v>
      </c>
      <c r="O24" s="1">
        <f t="shared" si="0"/>
        <v>137.03</v>
      </c>
    </row>
    <row r="25" spans="1:15">
      <c r="A25" s="31" t="s">
        <v>47</v>
      </c>
      <c r="B25" s="32"/>
      <c r="C25" s="33">
        <f>59.3*AvCO*DilutionFactor</f>
        <v>26.765032562162165</v>
      </c>
      <c r="D25" s="20"/>
      <c r="E25" s="57">
        <v>3</v>
      </c>
      <c r="F25" s="59">
        <v>6.7</v>
      </c>
      <c r="G25" s="59">
        <v>16.899999999999999</v>
      </c>
      <c r="H25" s="71"/>
      <c r="I25" s="71"/>
      <c r="J25" s="54" t="s">
        <v>73</v>
      </c>
      <c r="K25" s="54"/>
      <c r="L25" s="56">
        <v>24</v>
      </c>
      <c r="M25" s="56">
        <v>69</v>
      </c>
      <c r="N25" s="56">
        <v>114</v>
      </c>
      <c r="O25" s="1">
        <f t="shared" si="0"/>
        <v>113.22999999999999</v>
      </c>
    </row>
    <row r="26" spans="1:15">
      <c r="A26" s="34" t="s">
        <v>50</v>
      </c>
      <c r="B26" s="35"/>
      <c r="C26" s="36">
        <f>HTransEffic*CombustEffic/100</f>
        <v>81.078154637509883</v>
      </c>
      <c r="E26" s="57">
        <v>4</v>
      </c>
      <c r="F26" s="59">
        <v>6.6</v>
      </c>
      <c r="G26" s="59">
        <v>15</v>
      </c>
      <c r="H26" s="71"/>
      <c r="I26" s="71"/>
      <c r="J26" s="54" t="s">
        <v>73</v>
      </c>
      <c r="K26" s="54"/>
      <c r="L26" s="56">
        <v>25</v>
      </c>
      <c r="M26" s="56">
        <v>70</v>
      </c>
      <c r="N26" s="56">
        <v>115</v>
      </c>
      <c r="O26" s="1">
        <f t="shared" si="0"/>
        <v>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6.3</v>
      </c>
      <c r="G27" s="59">
        <v>14.9</v>
      </c>
      <c r="H27" s="71"/>
      <c r="I27" s="71"/>
      <c r="J27" s="54" t="s">
        <v>74</v>
      </c>
      <c r="K27" s="54"/>
      <c r="L27" s="56">
        <v>26</v>
      </c>
      <c r="M27" s="56">
        <v>71</v>
      </c>
      <c r="N27" s="56">
        <v>116</v>
      </c>
      <c r="O27" s="1">
        <f t="shared" si="0"/>
        <v>93.87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4.8</v>
      </c>
      <c r="G28" s="59">
        <v>15.6</v>
      </c>
      <c r="H28" s="71"/>
      <c r="I28" s="71"/>
      <c r="J28" s="54" t="s">
        <v>76</v>
      </c>
      <c r="K28" s="54"/>
      <c r="L28" s="56">
        <v>27</v>
      </c>
      <c r="M28" s="56">
        <v>72</v>
      </c>
      <c r="N28" s="56">
        <v>117</v>
      </c>
      <c r="O28" s="1">
        <f t="shared" si="0"/>
        <v>74.88</v>
      </c>
    </row>
    <row r="29" spans="1:15">
      <c r="A29" s="11">
        <v>1</v>
      </c>
      <c r="B29" s="25">
        <v>1.0244</v>
      </c>
      <c r="C29" s="25">
        <v>1.0258</v>
      </c>
      <c r="D29" s="4">
        <f t="shared" ref="D29:D34" si="1">IF(FiltDirty-FiltClean&gt;0,FiltDirty-FiltClean,0)</f>
        <v>1.4000000000000679E-3</v>
      </c>
      <c r="E29" s="57">
        <v>7</v>
      </c>
      <c r="F29" s="59">
        <v>4.2</v>
      </c>
      <c r="G29" s="59">
        <v>17.3</v>
      </c>
      <c r="H29" s="71"/>
      <c r="I29" s="71"/>
      <c r="J29" s="54" t="s">
        <v>76</v>
      </c>
      <c r="K29" s="54"/>
      <c r="L29" s="56">
        <v>28</v>
      </c>
      <c r="M29" s="56">
        <v>73</v>
      </c>
      <c r="N29" s="56">
        <v>118</v>
      </c>
      <c r="O29" s="1">
        <f t="shared" si="0"/>
        <v>72.660000000000011</v>
      </c>
    </row>
    <row r="30" spans="1:15">
      <c r="A30" s="11">
        <v>2</v>
      </c>
      <c r="B30" s="25">
        <v>1.0321</v>
      </c>
      <c r="C30" s="25">
        <v>1.0732999999999999</v>
      </c>
      <c r="D30" s="4">
        <f t="shared" si="1"/>
        <v>4.1199999999999903E-2</v>
      </c>
      <c r="E30" s="57">
        <v>8</v>
      </c>
      <c r="F30" s="59">
        <v>3.2</v>
      </c>
      <c r="G30" s="59">
        <v>15.4</v>
      </c>
      <c r="H30" s="71"/>
      <c r="I30" s="71"/>
      <c r="J30" s="54" t="s">
        <v>75</v>
      </c>
      <c r="K30" s="54"/>
      <c r="L30" s="56">
        <v>29</v>
      </c>
      <c r="M30" s="56">
        <v>74</v>
      </c>
      <c r="N30" s="56">
        <v>119</v>
      </c>
      <c r="O30" s="1">
        <f t="shared" si="0"/>
        <v>49.28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2.8</v>
      </c>
      <c r="G31" s="59">
        <v>15</v>
      </c>
      <c r="H31" s="71"/>
      <c r="I31" s="71"/>
      <c r="J31" s="54" t="s">
        <v>75</v>
      </c>
      <c r="K31" s="54"/>
      <c r="L31" s="56">
        <v>30</v>
      </c>
      <c r="M31" s="56">
        <v>75</v>
      </c>
      <c r="N31" s="56">
        <v>120</v>
      </c>
      <c r="O31" s="1">
        <f t="shared" si="0"/>
        <v>42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10.3</v>
      </c>
      <c r="G32" s="59">
        <v>19.100000000000001</v>
      </c>
      <c r="H32" s="71"/>
      <c r="I32" s="71"/>
      <c r="J32" s="54" t="s">
        <v>75</v>
      </c>
      <c r="K32" s="54"/>
      <c r="L32" s="56">
        <v>31</v>
      </c>
      <c r="M32" s="56">
        <v>76</v>
      </c>
      <c r="N32" s="56">
        <v>121</v>
      </c>
      <c r="O32" s="1">
        <f t="shared" si="0"/>
        <v>196.73000000000002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1.0125</v>
      </c>
      <c r="C35" s="25">
        <v>1.0126999999999999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4.2399999999999993E-2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2016-02-13T20:35:50Z</dcterms:modified>
</cp:coreProperties>
</file>