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<sst xmlns="http://schemas.openxmlformats.org/spreadsheetml/2006/main" count="97" uniqueCount="82">
  <si>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</si>
  <si>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</si>
  <si>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</si>
  <si>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</si>
  <si>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</si>
  <si>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</si>
  <si>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</si>
  <si>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</si>
  <si>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</si>
  <si>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</si>
  <si>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</si>
  <si>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</si>
  <si>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</si>
  <si>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</si>
  <si>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</si>
  <si>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</si>
  <si>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</si>
  <si>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</si>
  <si>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</si>
  <si>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</si>
  <si>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</si>
  <si>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</si>
  <si>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</si>
  <si>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</si>
  <si>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</si>
  <si>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</si>
  <si>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</si>
  <si>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</si>
  <si>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</si>
  <si>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</si>
  <si>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</si>
  <si>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</si>
  <si>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</si>
  <si>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</si>
  <si>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</si>
  <si>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</si>
  <si>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</si>
  <si>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</si>
  <si>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</si>
  <si>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</si>
  <si>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</si>
  <si>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</si>
  <si>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</si>
  <si>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</si>
  <si>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</si>
  <si>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</si>
  <si>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</si>
  <si>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</si>
  <si>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</si>
  <si>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</si>
  <si>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</si>
  <si>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</si>
  <si>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</si>
  <si>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</si>
  <si>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</si>
  <si>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</si>
  <si>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</si>
  <si>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</si>
  <si>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</si>
  <si>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</si>
  <si>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</si>
  <si>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</si>
  <si>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</si>
  <si>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</si>
  <si>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</si>
  <si>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</si>
  <si>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</si>
  <si>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</si>
  <si>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</si>
  <si>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</si>
  <si>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</si>
  <si>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</si>
  <si>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</si>
  <si>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maple</t>
  </si>
  <si>
    <t>Revised Jan 26/14</t>
  </si>
  <si>
    <t>Sunny clear no wind</t>
  </si>
  <si>
    <t>150F</t>
  </si>
  <si>
    <t>HK-M20</t>
  </si>
  <si>
    <t>15F</t>
  </si>
  <si>
    <t>Bio firebox</t>
  </si>
  <si>
    <t>White birch cordwood</t>
  </si>
  <si>
    <t>wh birch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</si>
</sst>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C3" sqref="C3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9.42187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68</v>
      </c>
      <c r="M1" s="18"/>
      <c r="N1" s="52"/>
    </row>
    <row r="2" spans="1:17" ht="12.75" outlineLevel="1">
      <c r="A2" s="1" t="s">
        <v>74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77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56</v>
      </c>
      <c r="B4" s="43"/>
      <c r="C4" s="44">
        <f>(SUM(scratch1)+WtKindl*20)/WtFuel</f>
        <v>15.617391304347825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55</v>
      </c>
      <c r="B5" s="43"/>
      <c r="C5" s="44">
        <f>SUM(PcWt)+WtKindl-UnburnedFuel</f>
        <v>46</v>
      </c>
      <c r="D5" s="20">
        <v>57</v>
      </c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54</v>
      </c>
      <c r="B6" s="43"/>
      <c r="C6" s="45">
        <f>KindlingWeight</f>
        <v>4</v>
      </c>
      <c r="D6" s="20"/>
      <c r="E6" s="17" t="s">
        <v>30</v>
      </c>
      <c r="F6" s="18"/>
      <c r="G6" s="64" t="s">
        <v>31</v>
      </c>
      <c r="H6" s="17" t="s">
        <v>3</v>
      </c>
      <c r="I6" s="18"/>
      <c r="J6" s="61">
        <v>41700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38</v>
      </c>
      <c r="B7" s="43"/>
      <c r="C7" s="45">
        <f>COUNT(PcWt)</f>
        <v>11</v>
      </c>
      <c r="D7" s="20"/>
      <c r="E7" s="2" t="s">
        <v>5</v>
      </c>
      <c r="F7" s="2"/>
      <c r="G7" s="62">
        <v>16</v>
      </c>
      <c r="H7" s="14" t="s">
        <v>64</v>
      </c>
      <c r="I7" s="2"/>
      <c r="J7" s="60" t="s">
        <v>78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39</v>
      </c>
      <c r="B8" s="43"/>
      <c r="C8" s="46" t="e">
        <f>(AVERAGE(Length)+SUM(Circumf))/(WtFuel-WtKindl)</f>
        <v>#DIV/0!</v>
      </c>
      <c r="D8" s="20"/>
      <c r="E8" s="1" t="s">
        <v>70</v>
      </c>
      <c r="G8" s="62" t="s">
        <v>76</v>
      </c>
      <c r="H8" s="21" t="s">
        <v>7</v>
      </c>
      <c r="I8" s="94" t="s">
        <v>75</v>
      </c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53</v>
      </c>
      <c r="B9" s="43"/>
      <c r="C9" s="44">
        <f>AVERAGE(PcWt)</f>
        <v>3.8181818181818183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57</v>
      </c>
      <c r="B10" s="43"/>
      <c r="C10" s="68">
        <v>2</v>
      </c>
      <c r="D10" s="20"/>
      <c r="E10" s="88" t="s">
        <v>67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58</v>
      </c>
      <c r="B11" s="43"/>
      <c r="C11" s="47">
        <f>StackTemp</f>
        <v>242</v>
      </c>
      <c r="D11" s="20"/>
      <c r="E11" s="67" t="s">
        <v>9</v>
      </c>
      <c r="F11" s="67" t="s">
        <v>66</v>
      </c>
      <c r="G11" s="67" t="s">
        <v>61</v>
      </c>
      <c r="H11" s="1" t="s">
        <v>65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40</v>
      </c>
      <c r="B12" s="43"/>
      <c r="C12" s="46">
        <f>F12</f>
        <v>16.24</v>
      </c>
      <c r="D12" s="20"/>
      <c r="E12" s="62">
        <v>242</v>
      </c>
      <c r="F12" s="68">
        <v>16.24</v>
      </c>
      <c r="G12" s="80">
        <v>602</v>
      </c>
      <c r="H12" s="60"/>
      <c r="I12" s="63">
        <v>0.46319444444444446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41</v>
      </c>
      <c r="B13" s="43"/>
      <c r="C13" s="46">
        <f>AVERAGE(ppm_CO)/10000</f>
        <v>0.0602</v>
      </c>
      <c r="D13" s="20"/>
      <c r="E13" s="69" t="s">
        <v>71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60</v>
      </c>
      <c r="B14" s="43"/>
      <c r="C14" s="46">
        <f>SQRT(528/(460+StackTemp))</f>
        <v>0.8672581807839879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42</v>
      </c>
      <c r="B15" s="43"/>
      <c r="C15" s="48">
        <f>20.9/(20.9-_AvO2)</f>
        <v>4.4849785407725316</v>
      </c>
      <c r="D15" s="20"/>
      <c r="E15" s="20"/>
      <c r="F15" s="20"/>
      <c r="G15" s="20"/>
      <c r="H15" s="26"/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43</v>
      </c>
      <c r="B16" s="43"/>
      <c r="C16" s="46">
        <f>((WtFuel-(UnburnedFuel*(1+AvMoisture/100)))/RunLength)*(1-(AvMoisture/100))/2.2</f>
        <v>8.821818181818182</v>
      </c>
      <c r="D16" s="20"/>
      <c r="E16" s="1" t="s">
        <v>10</v>
      </c>
      <c r="G16" s="78" t="s">
        <v>73</v>
      </c>
      <c r="H16" s="72" t="s">
        <v>79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62</v>
      </c>
      <c r="B17" s="43"/>
      <c r="C17" s="46">
        <f>(8.05+0.0035*(StackTemp-70))+(2.58+0.00114*StackTemp)</f>
        <v>11.50788</v>
      </c>
      <c r="D17" s="20"/>
      <c r="E17" s="20"/>
      <c r="F17" s="20"/>
      <c r="G17" s="20"/>
      <c r="H17" s="75" t="s">
        <v>80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44</v>
      </c>
      <c r="B18" s="43"/>
      <c r="C18" s="46">
        <f>gmKgCO*9.75/86</f>
        <v>1.8151717274678107</v>
      </c>
      <c r="D18" s="20"/>
      <c r="E18" s="2" t="s">
        <v>11</v>
      </c>
      <c r="F18" s="2"/>
      <c r="G18" s="86">
        <v>4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45</v>
      </c>
      <c r="B19" s="43"/>
      <c r="C19" s="46">
        <f>gmKgCondar*33/86</f>
        <v>0.5595191494164212</v>
      </c>
      <c r="D19" s="20"/>
      <c r="E19" s="1" t="s">
        <v>12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46</v>
      </c>
      <c r="B20" s="43"/>
      <c r="C20" s="46">
        <f>((1.5*DilutionFactor*(StackTemp-70))/8600)*100</f>
        <v>13.454935622317596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59</v>
      </c>
      <c r="B21" s="50"/>
      <c r="C21" s="50">
        <f>Catch</f>
        <v>0.07419999999999993</v>
      </c>
      <c r="D21" s="20"/>
      <c r="E21" s="17" t="s">
        <v>13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49</v>
      </c>
      <c r="B22" s="43"/>
      <c r="C22" s="46">
        <f>100-COLoss-HCLoss</f>
        <v>97.62530912311577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63</v>
      </c>
      <c r="K22" s="2" t="s">
        <v>32</v>
      </c>
      <c r="L22" s="65">
        <v>21</v>
      </c>
      <c r="M22" s="65">
        <v>66</v>
      </c>
      <c r="N22" s="65">
        <v>111</v>
      </c>
      <c r="O22" s="1" t="s">
        <v>72</v>
      </c>
    </row>
    <row r="23" spans="1:15" ht="12.75">
      <c r="A23" s="43" t="s">
        <v>50</v>
      </c>
      <c r="B23" s="43"/>
      <c r="C23" s="46">
        <f>100-DryGasLoss-BoilWaterLoss</f>
        <v>75.03718437768241</v>
      </c>
      <c r="D23" s="20"/>
      <c r="E23" s="66">
        <v>1</v>
      </c>
      <c r="F23" s="68">
        <v>3.7</v>
      </c>
      <c r="G23" s="68">
        <v>15.2</v>
      </c>
      <c r="H23" s="80"/>
      <c r="I23" s="80"/>
      <c r="J23" s="62" t="s">
        <v>81</v>
      </c>
      <c r="K23" s="62"/>
      <c r="L23" s="65">
        <v>22</v>
      </c>
      <c r="M23" s="65">
        <v>67</v>
      </c>
      <c r="N23" s="65">
        <v>112</v>
      </c>
      <c r="O23" s="1">
        <f aca="true" t="shared" si="0" ref="O23:O42">PcWt*Moisture</f>
        <v>56.24</v>
      </c>
    </row>
    <row r="24" spans="1:15" ht="12.75">
      <c r="A24" s="28" t="s">
        <v>47</v>
      </c>
      <c r="B24" s="29"/>
      <c r="C24" s="30">
        <f>(Catch/RunLength)*3.04*(DilutionFactor)/(0.4*StackTempFactor)</f>
        <v>1.4581408136306735</v>
      </c>
      <c r="D24" s="20"/>
      <c r="E24" s="66">
        <v>2</v>
      </c>
      <c r="F24" s="68">
        <v>3.3</v>
      </c>
      <c r="G24" s="68">
        <v>15.2</v>
      </c>
      <c r="H24" s="80"/>
      <c r="I24" s="80"/>
      <c r="J24" s="62" t="s">
        <v>81</v>
      </c>
      <c r="K24" s="62"/>
      <c r="L24" s="65">
        <v>23</v>
      </c>
      <c r="M24" s="65">
        <v>68</v>
      </c>
      <c r="N24" s="65">
        <v>113</v>
      </c>
      <c r="O24" s="1">
        <f t="shared" si="0"/>
        <v>50.16</v>
      </c>
    </row>
    <row r="25" spans="1:15" ht="12.75">
      <c r="A25" s="31" t="s">
        <v>48</v>
      </c>
      <c r="B25" s="32"/>
      <c r="C25" s="33">
        <f>59.3*AvCO*DilutionFactor</f>
        <v>16.01074549356223</v>
      </c>
      <c r="D25" s="20"/>
      <c r="E25" s="66">
        <v>3</v>
      </c>
      <c r="F25" s="68">
        <v>4.3</v>
      </c>
      <c r="G25" s="68">
        <v>15.2</v>
      </c>
      <c r="H25" s="80"/>
      <c r="I25" s="80"/>
      <c r="J25" s="62" t="s">
        <v>81</v>
      </c>
      <c r="K25" s="62"/>
      <c r="L25" s="65">
        <v>24</v>
      </c>
      <c r="M25" s="65">
        <v>69</v>
      </c>
      <c r="N25" s="65">
        <v>114</v>
      </c>
      <c r="O25" s="1">
        <f t="shared" si="0"/>
        <v>65.36</v>
      </c>
    </row>
    <row r="26" spans="1:15" ht="12.75">
      <c r="A26" s="34" t="s">
        <v>51</v>
      </c>
      <c r="B26" s="35"/>
      <c r="C26" s="36">
        <f>HTransEffic*CombustEffic/100</f>
        <v>73.25528320599479</v>
      </c>
      <c r="D26" s="20"/>
      <c r="E26" s="66">
        <v>4</v>
      </c>
      <c r="F26" s="68">
        <v>3.9</v>
      </c>
      <c r="G26" s="68">
        <v>15.2</v>
      </c>
      <c r="H26" s="80"/>
      <c r="I26" s="80"/>
      <c r="J26" s="62" t="s">
        <v>81</v>
      </c>
      <c r="K26" s="62"/>
      <c r="L26" s="65">
        <v>25</v>
      </c>
      <c r="M26" s="65">
        <v>70</v>
      </c>
      <c r="N26" s="65">
        <v>115</v>
      </c>
      <c r="O26" s="1">
        <f t="shared" si="0"/>
        <v>59.279999999999994</v>
      </c>
    </row>
    <row r="27" spans="1:15" ht="12.75">
      <c r="A27" s="6" t="s">
        <v>19</v>
      </c>
      <c r="B27" s="7" t="s">
        <v>20</v>
      </c>
      <c r="C27" s="7" t="s">
        <v>21</v>
      </c>
      <c r="D27" s="7" t="s">
        <v>22</v>
      </c>
      <c r="E27" s="66">
        <v>5</v>
      </c>
      <c r="F27" s="68">
        <v>5</v>
      </c>
      <c r="G27" s="68">
        <v>15.2</v>
      </c>
      <c r="H27" s="80"/>
      <c r="I27" s="80"/>
      <c r="J27" s="62" t="s">
        <v>81</v>
      </c>
      <c r="K27" s="62"/>
      <c r="L27" s="65">
        <v>26</v>
      </c>
      <c r="M27" s="65">
        <v>71</v>
      </c>
      <c r="N27" s="65">
        <v>116</v>
      </c>
      <c r="O27" s="1">
        <f t="shared" si="0"/>
        <v>76</v>
      </c>
    </row>
    <row r="28" spans="1:15" ht="12.75">
      <c r="A28" s="8" t="s">
        <v>23</v>
      </c>
      <c r="B28" s="9" t="s">
        <v>24</v>
      </c>
      <c r="C28" s="9" t="s">
        <v>24</v>
      </c>
      <c r="D28" s="9" t="s">
        <v>25</v>
      </c>
      <c r="E28" s="66">
        <v>6</v>
      </c>
      <c r="F28" s="68">
        <v>3.7</v>
      </c>
      <c r="G28" s="68">
        <v>15.2</v>
      </c>
      <c r="H28" s="80"/>
      <c r="I28" s="80"/>
      <c r="J28" s="62" t="s">
        <v>81</v>
      </c>
      <c r="K28" s="62"/>
      <c r="L28" s="65">
        <v>27</v>
      </c>
      <c r="M28" s="65">
        <v>72</v>
      </c>
      <c r="N28" s="65">
        <v>117</v>
      </c>
      <c r="O28" s="1">
        <f t="shared" si="0"/>
        <v>56.24</v>
      </c>
    </row>
    <row r="29" spans="1:15" ht="12.75">
      <c r="A29" s="11">
        <v>1</v>
      </c>
      <c r="B29" s="25">
        <v>0.9877</v>
      </c>
      <c r="C29" s="25">
        <v>0.9937</v>
      </c>
      <c r="D29" s="4">
        <f aca="true" t="shared" si="1" ref="D29:D34">IF(FiltDirty-FiltClean&gt;0,FiltDirty-FiltClean,0)</f>
        <v>0.006000000000000005</v>
      </c>
      <c r="E29" s="66">
        <v>7</v>
      </c>
      <c r="F29" s="68">
        <v>4.3</v>
      </c>
      <c r="G29" s="68">
        <v>15.2</v>
      </c>
      <c r="H29" s="80"/>
      <c r="I29" s="80"/>
      <c r="J29" s="62" t="s">
        <v>81</v>
      </c>
      <c r="K29" s="62"/>
      <c r="L29" s="65">
        <v>28</v>
      </c>
      <c r="M29" s="65">
        <v>73</v>
      </c>
      <c r="N29" s="65">
        <v>118</v>
      </c>
      <c r="O29" s="1">
        <f t="shared" si="0"/>
        <v>65.36</v>
      </c>
    </row>
    <row r="30" spans="1:15" ht="12.75">
      <c r="A30" s="11">
        <v>2</v>
      </c>
      <c r="B30" s="25">
        <v>0.9824</v>
      </c>
      <c r="C30" s="25">
        <v>1.0506</v>
      </c>
      <c r="D30" s="4">
        <f t="shared" si="1"/>
        <v>0.06819999999999993</v>
      </c>
      <c r="E30" s="66">
        <v>8</v>
      </c>
      <c r="F30" s="68">
        <v>4</v>
      </c>
      <c r="G30" s="68">
        <v>15.2</v>
      </c>
      <c r="H30" s="80"/>
      <c r="I30" s="80"/>
      <c r="J30" s="62" t="s">
        <v>81</v>
      </c>
      <c r="K30" s="62"/>
      <c r="L30" s="65">
        <v>29</v>
      </c>
      <c r="M30" s="65">
        <v>74</v>
      </c>
      <c r="N30" s="65">
        <v>119</v>
      </c>
      <c r="O30" s="1">
        <f t="shared" si="0"/>
        <v>60.8</v>
      </c>
    </row>
    <row r="31" spans="1:15" ht="12.75">
      <c r="A31" s="11">
        <v>3</v>
      </c>
      <c r="B31" s="25"/>
      <c r="C31" s="25"/>
      <c r="D31" s="4">
        <f t="shared" si="1"/>
        <v>0</v>
      </c>
      <c r="E31" s="66">
        <v>9</v>
      </c>
      <c r="F31" s="68">
        <v>4</v>
      </c>
      <c r="G31" s="68">
        <v>15.2</v>
      </c>
      <c r="H31" s="80"/>
      <c r="I31" s="80"/>
      <c r="J31" s="62" t="s">
        <v>81</v>
      </c>
      <c r="K31" s="62"/>
      <c r="L31" s="65">
        <v>30</v>
      </c>
      <c r="M31" s="65">
        <v>75</v>
      </c>
      <c r="N31" s="65">
        <v>120</v>
      </c>
      <c r="O31" s="1">
        <f t="shared" si="0"/>
        <v>60.8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>
        <v>2.5</v>
      </c>
      <c r="G32" s="68">
        <v>15.2</v>
      </c>
      <c r="H32" s="80"/>
      <c r="I32" s="80"/>
      <c r="J32" s="62" t="s">
        <v>81</v>
      </c>
      <c r="K32" s="62"/>
      <c r="L32" s="65">
        <v>31</v>
      </c>
      <c r="M32" s="65">
        <v>76</v>
      </c>
      <c r="N32" s="65">
        <v>121</v>
      </c>
      <c r="O32" s="1">
        <f t="shared" si="0"/>
        <v>38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>
        <v>3.3</v>
      </c>
      <c r="G33" s="68">
        <v>15.2</v>
      </c>
      <c r="H33" s="80"/>
      <c r="I33" s="80"/>
      <c r="J33" s="62" t="s">
        <v>81</v>
      </c>
      <c r="K33" s="62"/>
      <c r="L33" s="65">
        <v>32</v>
      </c>
      <c r="M33" s="65">
        <v>77</v>
      </c>
      <c r="N33" s="65">
        <v>122</v>
      </c>
      <c r="O33" s="1">
        <f t="shared" si="0"/>
        <v>50.16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/>
      <c r="G34" s="68"/>
      <c r="H34" s="80"/>
      <c r="I34" s="80"/>
      <c r="J34" s="62" t="s">
        <v>81</v>
      </c>
      <c r="K34" s="62"/>
      <c r="L34" s="65">
        <v>33</v>
      </c>
      <c r="M34" s="65">
        <v>78</v>
      </c>
      <c r="N34" s="65">
        <v>123</v>
      </c>
      <c r="O34" s="1">
        <f t="shared" si="0"/>
        <v>0</v>
      </c>
    </row>
    <row r="35" spans="1:15" ht="12.75">
      <c r="A35" s="12" t="s">
        <v>26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 t="s">
        <v>81</v>
      </c>
      <c r="K35" s="62"/>
      <c r="L35" s="65">
        <v>34</v>
      </c>
      <c r="M35" s="65">
        <v>79</v>
      </c>
      <c r="N35" s="65">
        <v>124</v>
      </c>
      <c r="O35" s="1">
        <f t="shared" si="0"/>
        <v>0</v>
      </c>
    </row>
    <row r="36" spans="1:15" ht="12.75">
      <c r="A36" s="13" t="s">
        <v>27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 t="s">
        <v>81</v>
      </c>
      <c r="K36" s="62"/>
      <c r="L36" s="65">
        <v>35</v>
      </c>
      <c r="M36" s="65">
        <v>80</v>
      </c>
      <c r="N36" s="65">
        <v>125</v>
      </c>
      <c r="O36" s="1">
        <f t="shared" si="0"/>
        <v>0</v>
      </c>
    </row>
    <row r="37" spans="1:15" ht="12.75">
      <c r="A37" s="39"/>
      <c r="B37" s="4" t="s">
        <v>28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29</v>
      </c>
      <c r="C38" s="83"/>
      <c r="D38" s="85">
        <f>SUM(D29:D34)+D37</f>
        <v>0.07419999999999993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4:15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4:15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33</v>
      </c>
      <c r="H43" s="1">
        <v>1</v>
      </c>
      <c r="I43" s="1" t="s">
        <v>34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35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29</v>
      </c>
      <c r="F45" s="87">
        <f>SUM(F23:F36)</f>
        <v>42</v>
      </c>
      <c r="H45" s="1">
        <v>3</v>
      </c>
      <c r="I45" s="1" t="s">
        <v>36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37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52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2014-03-02T20:54:57Z</dcterms:modified>
  <cp:category/>
  <cp:version/>
  <cp:contentType/>
  <cp:contentStatus/>
</cp:coreProperties>
</file>