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4519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9"/>
  <c r="C7"/>
  <c r="D29"/>
  <c r="D30"/>
  <c r="D31"/>
  <c r="D32"/>
  <c r="D33"/>
  <c r="D34"/>
  <c r="D37"/>
  <c r="C15"/>
  <c r="C3"/>
  <c r="H9"/>
  <c r="J3"/>
  <c r="G4"/>
  <c r="H7"/>
  <c r="C4"/>
  <c r="F3"/>
  <c r="J4"/>
  <c r="C6"/>
  <c r="G9"/>
  <c r="G5"/>
  <c r="H8"/>
  <c r="C11"/>
  <c r="C14" s="1"/>
  <c r="D38" l="1"/>
  <c r="C21" s="1"/>
  <c r="C5"/>
  <c r="C16" s="1"/>
  <c r="C20"/>
  <c r="C23"/>
  <c r="C18" s="1"/>
  <c r="C17"/>
  <c r="C25" s="1"/>
  <c r="C22" l="1"/>
  <c r="C19" s="1"/>
  <c r="C24" s="1"/>
  <c r="C26" s="1"/>
  <c r="C8"/>
</calcChain>
</file>

<file path=xl/sharedStrings.xml><?xml version="1.0" encoding="utf-8"?>
<sst xmlns="http://schemas.openxmlformats.org/spreadsheetml/2006/main" count="88" uniqueCount="81">
  <si>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</si>
  <si>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</si>
  <si>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</si>
  <si>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</si>
  <si>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</si>
  <si>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</si>
  <si>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</si>
  <si>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</si>
  <si>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</si>
  <si>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</si>
  <si>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</si>
  <si>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</si>
  <si>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</si>
  <si>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</si>
  <si>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</si>
  <si>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</si>
  <si>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</si>
  <si>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</si>
  <si>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</si>
  <si>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</si>
  <si>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</si>
  <si>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</si>
  <si>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</si>
  <si>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</si>
  <si>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</si>
  <si>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</si>
  <si>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</si>
  <si>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</si>
  <si>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</si>
  <si>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</si>
  <si>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</si>
  <si>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</si>
  <si>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</si>
  <si>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</si>
  <si>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</si>
  <si>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</si>
  <si>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</si>
  <si>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</si>
  <si>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</si>
  <si>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</si>
  <si>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</si>
  <si>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</si>
  <si>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</si>
  <si>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</si>
  <si>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</si>
  <si>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</si>
  <si>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</si>
  <si>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</si>
  <si>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</si>
  <si>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</si>
  <si>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</si>
  <si>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</si>
  <si>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</si>
  <si>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</si>
  <si>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</si>
  <si>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Boiling of Water Loss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</si>
  <si>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</si>
  <si>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</si>
  <si>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</si>
  <si>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</si>
  <si>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</si>
  <si>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</si>
  <si>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</si>
  <si>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</si>
  <si>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</si>
  <si>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</si>
  <si>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</si>
  <si>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</si>
  <si>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</si>
  <si>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</si>
  <si>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</si>
  <si>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</si>
  <si>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</si>
  <si>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</si>
  <si>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</si>
  <si>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</si>
  <si>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</si>
  <si>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16/09</t>
  </si>
  <si>
    <t>HKK-09</t>
  </si>
  <si>
    <t>0F</t>
  </si>
  <si>
    <t>clear, calm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</si>
</sst>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164" fontId="1" fillId="0" borderId="0" xfId="2" applyNumberFormat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1"/>
      <c r="K1" s="2"/>
      <c r="L1" s="109" t="s">
        <v>1</v>
      </c>
      <c r="M1" s="110"/>
      <c r="N1" s="110"/>
      <c r="O1" s="110"/>
      <c r="P1" s="110"/>
      <c r="Q1" s="111"/>
    </row>
    <row r="2" spans="1:21" ht="15.75" outlineLevel="1">
      <c r="A2" s="1" t="s">
        <v>77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HKK-09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39829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70</v>
      </c>
      <c r="B4" s="94"/>
      <c r="C4" s="95">
        <f>AVERAGE(Moisture)</f>
        <v>20</v>
      </c>
      <c r="D4" s="29"/>
      <c r="E4" s="2" t="s">
        <v>7</v>
      </c>
      <c r="F4" s="2"/>
      <c r="G4" s="6">
        <f>TimeSinceLast</f>
        <v>24</v>
      </c>
      <c r="H4" s="19" t="s">
        <v>8</v>
      </c>
      <c r="I4" s="2"/>
      <c r="J4" s="6" t="str">
        <f>AmbientTemperature</f>
        <v>0F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69</v>
      </c>
      <c r="B5" s="94"/>
      <c r="C5" s="95">
        <f>SUM(PcWt)+WtKindl-UnburnedFuel</f>
        <v>63.1</v>
      </c>
      <c r="D5" s="29"/>
      <c r="E5" s="2" t="s">
        <v>10</v>
      </c>
      <c r="F5" s="20"/>
      <c r="G5" s="18">
        <f>(StartTime)</f>
        <v>0.54999999999999993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68</v>
      </c>
      <c r="B6" s="94"/>
      <c r="C6" s="96">
        <f>KindlingWeight</f>
        <v>4.5</v>
      </c>
      <c r="D6" s="29"/>
      <c r="E6" s="23" t="s">
        <v>13</v>
      </c>
      <c r="F6" s="13"/>
      <c r="G6" s="13"/>
      <c r="H6" s="13"/>
      <c r="I6" s="13"/>
      <c r="J6" s="24"/>
      <c r="K6"/>
      <c r="L6" s="106" t="s">
        <v>12</v>
      </c>
      <c r="M6" s="107"/>
      <c r="N6" s="107"/>
      <c r="O6" s="107"/>
      <c r="P6" s="107"/>
      <c r="Q6" s="108"/>
    </row>
    <row r="7" spans="1:21" outlineLevel="1">
      <c r="A7" s="94" t="s">
        <v>49</v>
      </c>
      <c r="B7" s="94"/>
      <c r="C7" s="96">
        <f>COUNT(PcWt)</f>
        <v>8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78</v>
      </c>
      <c r="O7" s="35" t="s">
        <v>5</v>
      </c>
      <c r="P7" s="35"/>
      <c r="Q7" s="66">
        <v>39829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>
        <v>24</v>
      </c>
      <c r="O8" s="35" t="s">
        <v>40</v>
      </c>
      <c r="P8" s="35"/>
      <c r="Q8" s="45" t="s">
        <v>42</v>
      </c>
    </row>
    <row r="9" spans="1:21" outlineLevel="1">
      <c r="A9" s="94" t="s">
        <v>67</v>
      </c>
      <c r="B9" s="94"/>
      <c r="C9" s="95">
        <f>AVERAGE(PcWt)</f>
        <v>7.3250000000000002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0.54999999999999993</v>
      </c>
      <c r="O9" s="35" t="s">
        <v>8</v>
      </c>
      <c r="P9" s="35"/>
      <c r="Q9" s="32" t="s">
        <v>79</v>
      </c>
    </row>
    <row r="10" spans="1:21" outlineLevel="1">
      <c r="A10" s="94" t="s">
        <v>71</v>
      </c>
      <c r="B10" s="94"/>
      <c r="C10" s="95">
        <v>1.5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/>
      <c r="Q10" s="45" t="s">
        <v>80</v>
      </c>
    </row>
    <row r="11" spans="1:21" outlineLevel="1">
      <c r="A11" s="94" t="s">
        <v>72</v>
      </c>
      <c r="B11" s="94"/>
      <c r="C11" s="98">
        <f>AVERAGE(StackTemp)</f>
        <v>347.7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/>
      <c r="Q11" s="29"/>
    </row>
    <row r="12" spans="1:21" outlineLevel="1">
      <c r="A12" s="94" t="s">
        <v>51</v>
      </c>
      <c r="B12" s="94"/>
      <c r="C12" s="97">
        <f>G14</f>
        <v>13.17</v>
      </c>
      <c r="D12" s="29"/>
      <c r="E12" s="23" t="s">
        <v>75</v>
      </c>
      <c r="F12" s="13"/>
      <c r="G12" s="13"/>
      <c r="H12" s="23"/>
      <c r="I12" s="13"/>
      <c r="J12" s="24"/>
      <c r="K12"/>
      <c r="L12" s="106" t="s">
        <v>13</v>
      </c>
      <c r="M12" s="107"/>
      <c r="N12" s="107"/>
      <c r="O12" s="107"/>
      <c r="P12" s="107"/>
      <c r="Q12" s="108"/>
    </row>
    <row r="13" spans="1:21">
      <c r="A13" s="94" t="s">
        <v>52</v>
      </c>
      <c r="B13" s="94"/>
      <c r="C13" s="97">
        <f>AVERAGE(CO)/10000</f>
        <v>0.16830999999999999</v>
      </c>
      <c r="D13" s="29"/>
      <c r="E13" s="81"/>
      <c r="F13" s="83" t="s">
        <v>18</v>
      </c>
      <c r="G13" s="83" t="s">
        <v>19</v>
      </c>
      <c r="H13" s="73" t="s">
        <v>76</v>
      </c>
      <c r="I13" s="7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74</v>
      </c>
      <c r="B14" s="94"/>
      <c r="C14" s="97">
        <f>SQRT(528/(460+AvStackTemp))</f>
        <v>0.80852214559852276</v>
      </c>
      <c r="D14" s="68"/>
      <c r="E14" s="84"/>
      <c r="F14" s="104">
        <v>347.7</v>
      </c>
      <c r="G14" s="105">
        <v>13.17</v>
      </c>
      <c r="H14" s="104">
        <v>1683.1</v>
      </c>
      <c r="I14" s="86"/>
      <c r="J14" s="74"/>
      <c r="L14" s="1" t="s">
        <v>20</v>
      </c>
      <c r="N14" s="54" t="s">
        <v>64</v>
      </c>
      <c r="O14" s="89">
        <v>2222</v>
      </c>
      <c r="P14" s="44"/>
      <c r="Q14" s="48"/>
    </row>
    <row r="15" spans="1:21">
      <c r="A15" s="94" t="s">
        <v>53</v>
      </c>
      <c r="B15" s="94"/>
      <c r="C15" s="99">
        <f>20.9/(20.9-_AvO2)</f>
        <v>2.7037516170763265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65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15.296969696969697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55</v>
      </c>
      <c r="B17" s="94"/>
      <c r="C17" s="97">
        <f>(8.05+0.0035*(AvStackTemp-70))+(2.58+0.00114*AvStackTemp)</f>
        <v>11.998328000000001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56</v>
      </c>
      <c r="B18" s="94"/>
      <c r="C18" s="97">
        <f>gmKgCO*9.75/86</f>
        <v>3.0594092118069143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57</v>
      </c>
      <c r="B19" s="94"/>
      <c r="C19" s="97">
        <f>gmKgCondar*33/86</f>
        <v>0.38358772922965928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58</v>
      </c>
      <c r="B20" s="94"/>
      <c r="C20" s="97">
        <f>((1.5*DilutionFactor*(AvStackTemp-70))/8600)*100</f>
        <v>13.09590390805981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73</v>
      </c>
      <c r="B21" s="101"/>
      <c r="C21" s="101">
        <f xml:space="preserve"> Catch</f>
        <v>5.8999999999999941E-2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59</v>
      </c>
      <c r="B22" s="56"/>
      <c r="C22" s="57">
        <f>(Catch/RunLength)*3.04*(DilutionFactor)/(0.4*StackTempFactor)</f>
        <v>0.99965287011365744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>
        <v>8.6</v>
      </c>
      <c r="O22" s="34">
        <v>20</v>
      </c>
      <c r="P22" s="34"/>
      <c r="Q22" s="34"/>
      <c r="R22" s="32"/>
    </row>
    <row r="23" spans="1:18">
      <c r="A23" s="58" t="s">
        <v>60</v>
      </c>
      <c r="B23" s="59"/>
      <c r="C23" s="60">
        <f>59.3*AvCO*DilutionFactor</f>
        <v>26.985558175937907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>
        <v>8.5</v>
      </c>
      <c r="O23" s="34">
        <v>20</v>
      </c>
      <c r="P23" s="34"/>
      <c r="Q23" s="34"/>
      <c r="R23" s="32"/>
    </row>
    <row r="24" spans="1:18">
      <c r="A24" s="58" t="s">
        <v>61</v>
      </c>
      <c r="B24" s="61"/>
      <c r="C24" s="60">
        <f>100-COLoss-HCLoss</f>
        <v>96.557003058963431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>
        <v>7.8</v>
      </c>
      <c r="O24" s="34">
        <v>20</v>
      </c>
      <c r="P24" s="34"/>
      <c r="Q24" s="34"/>
      <c r="R24" s="32"/>
    </row>
    <row r="25" spans="1:18">
      <c r="A25" s="58" t="s">
        <v>62</v>
      </c>
      <c r="B25" s="59"/>
      <c r="C25" s="60">
        <f>100-DryGasLoss-BoilWaterLoss</f>
        <v>74.905768091940189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>
        <v>7.8</v>
      </c>
      <c r="O25" s="34">
        <v>20</v>
      </c>
      <c r="P25" s="34"/>
      <c r="Q25" s="34"/>
      <c r="R25" s="32"/>
    </row>
    <row r="26" spans="1:18">
      <c r="A26" s="62" t="s">
        <v>63</v>
      </c>
      <c r="B26" s="63"/>
      <c r="C26" s="64">
        <f>HTransEffic*CombustEffic/100</f>
        <v>72.326764787874751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>
        <v>7.2</v>
      </c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>
        <v>6.9</v>
      </c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>
        <v>6</v>
      </c>
      <c r="O28" s="34">
        <v>20</v>
      </c>
      <c r="P28" s="34"/>
      <c r="Q28" s="34"/>
      <c r="R28" s="32"/>
    </row>
    <row r="29" spans="1:18">
      <c r="A29" s="14">
        <v>1</v>
      </c>
      <c r="B29" s="45">
        <v>0.99980000000000002</v>
      </c>
      <c r="C29" s="45">
        <v>1.0570999999999999</v>
      </c>
      <c r="D29" s="5">
        <f t="shared" ref="D29:D34" si="0">IF(FiltDirty-FiltClean&gt;0,FiltDirty-FiltClean,0)</f>
        <v>5.7299999999999907E-2</v>
      </c>
      <c r="E29" s="84"/>
      <c r="F29" s="87"/>
      <c r="G29" s="87"/>
      <c r="H29" s="87"/>
      <c r="I29" s="86"/>
      <c r="J29" s="75"/>
      <c r="L29" s="29"/>
      <c r="M29" s="1">
        <v>8</v>
      </c>
      <c r="N29" s="34">
        <v>5.8</v>
      </c>
      <c r="O29" s="34">
        <v>20</v>
      </c>
      <c r="P29" s="34"/>
      <c r="Q29" s="34"/>
      <c r="R29" s="32"/>
    </row>
    <row r="30" spans="1:18">
      <c r="A30" s="14">
        <v>2</v>
      </c>
      <c r="B30" s="45">
        <v>1.0106999999999999</v>
      </c>
      <c r="C30" s="45">
        <v>1.0124</v>
      </c>
      <c r="D30" s="5">
        <f t="shared" si="0"/>
        <v>1.7000000000000348E-3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5.8999999999999941E-2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66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2009-01-17T00:35:02Z</dcterms:modified>
</cp:coreProperties>
</file>