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3" sheetId="1" r:id="rId1"/>
  </sheets>
  <definedNames>
    <definedName name="ACwvu.Data." localSheetId="0" hidden="1">'HK-G03'!$A$1:$J$42</definedName>
    <definedName name="ACwvu.Fuel." localSheetId="0" hidden="1">'HK-G03'!$E$3:$J$9</definedName>
    <definedName name="ACwvu.Stats." localSheetId="0" hidden="1">'HK-G03'!$A$3:$C$25</definedName>
    <definedName name="Ambient" localSheetId="0">'HK-G03'!$J$4</definedName>
    <definedName name="Ambient">#REF!</definedName>
    <definedName name="AmbientTemperature" localSheetId="0">'HK-G03'!$Q$8</definedName>
    <definedName name="AmbientTemperature">#REF!</definedName>
    <definedName name="AvCO" localSheetId="0">'HK-G03'!$C$12</definedName>
    <definedName name="AvCO">#REF!</definedName>
    <definedName name="AvMoisture" localSheetId="0">'HK-G03'!$C$4</definedName>
    <definedName name="AvMoisture">#REF!</definedName>
    <definedName name="AvO2" localSheetId="0">'HK-G03'!$C$11</definedName>
    <definedName name="AvO2">#REF!</definedName>
    <definedName name="AvStackTemp" localSheetId="0">'HK-G03'!$C$10</definedName>
    <definedName name="AvStackTemp">#REF!</definedName>
    <definedName name="BoilWaterLoss" localSheetId="0">'HK-G03'!$C$16</definedName>
    <definedName name="BoilWaterLoss">#REF!</definedName>
    <definedName name="BurnRateDry" localSheetId="0">'HK-G03'!$C$15</definedName>
    <definedName name="BurnRateDry">#REF!</definedName>
    <definedName name="Catch" localSheetId="0">'HK-G03'!$D$37</definedName>
    <definedName name="Catch">#REF!</definedName>
    <definedName name="Circumf" localSheetId="0">'HK-G03'!$P$21:$P$39</definedName>
    <definedName name="Circumf">#REF!</definedName>
    <definedName name="CleanControl" localSheetId="0">'HK-G03'!$B$34:$B$35</definedName>
    <definedName name="CleanControl">#REF!</definedName>
    <definedName name="CM" localSheetId="0">'HK-G03'!$H$14:$H$52</definedName>
    <definedName name="CM">#REF!</definedName>
    <definedName name="CO" localSheetId="0">'HK-G03'!$H$14:$H$52</definedName>
    <definedName name="CO">#REF!</definedName>
    <definedName name="COLoss" localSheetId="0">'HK-G03'!$C$17</definedName>
    <definedName name="COLoss">#REF!</definedName>
    <definedName name="CombEfficPartic" localSheetId="0">'HK-G03'!#REF!</definedName>
    <definedName name="CombEfficPartic">#REF!</definedName>
    <definedName name="CombustEffic" localSheetId="0">'HK-G03'!$C$23</definedName>
    <definedName name="CombustEffic">#REF!</definedName>
    <definedName name="COO" localSheetId="0">'HK-G03'!$I$14:$I$47</definedName>
    <definedName name="COO">#REF!</definedName>
    <definedName name="DATE" localSheetId="0">'HK-G03'!$Q$6</definedName>
    <definedName name="DATE">#REF!</definedName>
    <definedName name="Density" localSheetId="0">'HK-G03'!$G$8</definedName>
    <definedName name="Density">#REF!</definedName>
    <definedName name="DilutionFactor" localSheetId="0">'HK-G03'!$C$14</definedName>
    <definedName name="DilutionFactor">#REF!</definedName>
    <definedName name="DirtyControl" localSheetId="0">'HK-G03'!$C$34:$C$35</definedName>
    <definedName name="DirtyControl">#REF!</definedName>
    <definedName name="DryGasLoss" localSheetId="0">'HK-G03'!$C$19</definedName>
    <definedName name="DryGasLoss">#REF!</definedName>
    <definedName name="Extinction">'HK-G03'!$G$14:$G$59</definedName>
    <definedName name="FiltClean" localSheetId="0">'HK-G03'!$B$28:$B$33</definedName>
    <definedName name="FiltClean">#REF!</definedName>
    <definedName name="FiltDirty" localSheetId="0">'HK-G03'!$C$28:$C$33</definedName>
    <definedName name="FiltDirty">#REF!</definedName>
    <definedName name="FuelConfig" localSheetId="0">'HK-G03'!$O$13:$Q$17</definedName>
    <definedName name="FuelConfig">#REF!</definedName>
    <definedName name="g\kgCondar" localSheetId="0">'HK-G03'!$C$28</definedName>
    <definedName name="g\kgCondar">#REF!</definedName>
    <definedName name="gmKgCO" localSheetId="0">'HK-G03'!$C$22</definedName>
    <definedName name="gmKgCO">#REF!</definedName>
    <definedName name="gmKgCondar" localSheetId="0">'HK-G03'!$C$21</definedName>
    <definedName name="gmKgCondar">#REF!</definedName>
    <definedName name="gmKgM7" localSheetId="0">'HK-G03'!#REF!</definedName>
    <definedName name="gmKgM7">#REF!</definedName>
    <definedName name="HCLoss" localSheetId="0">'HK-G03'!$C$18</definedName>
    <definedName name="HCLoss">#REF!</definedName>
    <definedName name="HTransEffic" localSheetId="0">'HK-G03'!$C$24</definedName>
    <definedName name="HTransEffic">#REF!</definedName>
    <definedName name="KindlingWeight" localSheetId="0">'HK-G03'!$N$15</definedName>
    <definedName name="KindlingWeight">#REF!</definedName>
    <definedName name="Length" localSheetId="0">'HK-G03'!$Q$21:$Q$39</definedName>
    <definedName name="Length">#REF!</definedName>
    <definedName name="Moist" localSheetId="0">'HK-G03'!$C$4</definedName>
    <definedName name="Moist">#REF!</definedName>
    <definedName name="Moisture" localSheetId="0">'HK-G03'!$O$21:$O$39</definedName>
    <definedName name="Moisture">#REF!</definedName>
    <definedName name="NumberOfPieces" localSheetId="0">'HK-G03'!$C$7</definedName>
    <definedName name="NumberOfPieces">#REF!</definedName>
    <definedName name="O2T">#REF!</definedName>
    <definedName name="Ocalc" localSheetId="0">'HK-G03'!$G$15:$G$43</definedName>
    <definedName name="Ocalc">#REF!</definedName>
    <definedName name="Odiff" localSheetId="0">'HK-G03'!$N$19:$O$39</definedName>
    <definedName name="Odiff">#REF!</definedName>
    <definedName name="OO">#REF!</definedName>
    <definedName name="Oxy" localSheetId="0">'HK-G03'!$G$44:$G$52</definedName>
    <definedName name="Oxy">#REF!</definedName>
    <definedName name="PcNum" localSheetId="0">'HK-G03'!$M$21:$M$29</definedName>
    <definedName name="PcNum">#REF!</definedName>
    <definedName name="PcWt" localSheetId="0">'HK-G03'!$N$21:$N$39</definedName>
    <definedName name="PcWt">#REF!</definedName>
    <definedName name="_xlnm.Print_Area" localSheetId="0">'HK-G03'!$A$1:$J$42</definedName>
    <definedName name="R_ohms">'HK-G03'!$H$14:$H$59</definedName>
    <definedName name="R_Span">'HK-G03'!$J$14</definedName>
    <definedName name="R_zero">'HK-G03'!$I$14</definedName>
    <definedName name="RLength" localSheetId="0">'HK-G03'!$N$9</definedName>
    <definedName name="RLength">#REF!</definedName>
    <definedName name="RunLength" localSheetId="0">'HK-G03'!$C$9</definedName>
    <definedName name="RunLength">#REF!</definedName>
    <definedName name="RunNumber" localSheetId="0">'HK-G03'!$N$6</definedName>
    <definedName name="RunNumber">#REF!</definedName>
    <definedName name="SCRATCH" localSheetId="0">'HK-G03'!#REF!</definedName>
    <definedName name="SCRATCH">#REF!</definedName>
    <definedName name="ShapeFactor">#REF!</definedName>
    <definedName name="StackTemp" localSheetId="0">'HK-G03'!$F$14:$F$52</definedName>
    <definedName name="StackTemp">#REF!</definedName>
    <definedName name="StackTempFactor" localSheetId="0">'HK-G03'!$C$13</definedName>
    <definedName name="StackTempFactor">#REF!</definedName>
    <definedName name="StakTemp" localSheetId="0">'HK-G03'!$F$14:$F$52</definedName>
    <definedName name="StakTemp">#REF!</definedName>
    <definedName name="StartTime" localSheetId="0">'HK-G03'!$N$8</definedName>
    <definedName name="StartTime">#REF!</definedName>
    <definedName name="SurfToVol" localSheetId="0">'HK-G03'!#REF!</definedName>
    <definedName name="SurfToVol">#REF!</definedName>
    <definedName name="Swvu.Data." localSheetId="0" hidden="1">'HK-G03'!$A$1:$J$42</definedName>
    <definedName name="Swvu.Fuel." localSheetId="0" hidden="1">'HK-G03'!$E$3:$J$9</definedName>
    <definedName name="Swvu.Stats." localSheetId="0" hidden="1">'HK-G03'!$A$3:$C$25</definedName>
    <definedName name="System" localSheetId="0">'HK-G03'!$Q$7</definedName>
    <definedName name="System">#REF!</definedName>
    <definedName name="TimeSinceLast" localSheetId="0">'HK-G03'!$N$7</definedName>
    <definedName name="TimeSinceLast">#REF!</definedName>
    <definedName name="TypeFuel" localSheetId="0">'HK-G03'!$G$7</definedName>
    <definedName name="TypeFuel">#REF!</definedName>
    <definedName name="UnburnedFuel" localSheetId="0">'HK-G03'!$G$9</definedName>
    <definedName name="UnburnedFuel">#REF!</definedName>
    <definedName name="UnFuel" localSheetId="0">'HK-G03'!$N$16</definedName>
    <definedName name="UnFuel">#REF!</definedName>
    <definedName name="Weight" localSheetId="0">'HK-G03'!$N$21:$N$29</definedName>
    <definedName name="Weight">#REF!</definedName>
    <definedName name="wrn.PMReport." localSheetId="0" hidden="1">{"Data",#N/A,FALSE}</definedName>
    <definedName name="Wt_x_Mois" localSheetId="0">'HK-G03'!$Q$21:$Q$29</definedName>
    <definedName name="Wt_x_Mois">#REF!</definedName>
    <definedName name="WtFuel" localSheetId="0">'HK-G03'!$C$5</definedName>
    <definedName name="WtFuel">#REF!</definedName>
    <definedName name="WtKindl" localSheetId="0">'HK-G03'!$C$6</definedName>
    <definedName name="WtKindl">#REF!</definedName>
    <definedName name="WtMois" localSheetId="0">'HK-G03'!$N$21:$O$29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'HK-G03'!$D$37</definedName>
    <definedName name="Z_85FB64C4_E865_4308_AE47_98DF77E4A637_.wvu.PrintArea" localSheetId="0" hidden="1">'HK-G03'!$D$37</definedName>
    <definedName name="Z_AC302BFA_6820_4D82_89CC_538329EEE352_.wvu.PrintArea" localSheetId="0" hidden="1">'HK-G03'!$D$37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5" authorId="0">
      <text>
        <r>
          <rPr>
            <sz val="8"/>
            <rFont val="Tahoma"/>
            <family val="0"/>
          </rPr>
          <t>30: Windy, Condar drift.</t>
        </r>
      </text>
    </comment>
    <comment ref="E26" authorId="0">
      <text>
        <r>
          <rPr>
            <sz val="8"/>
            <rFont val="Tahoma"/>
            <family val="0"/>
          </rPr>
          <t>35:</t>
        </r>
      </text>
    </comment>
    <comment ref="E27" authorId="0">
      <text>
        <r>
          <rPr>
            <sz val="8"/>
            <rFont val="Tahoma"/>
            <family val="0"/>
          </rPr>
          <t>40:</t>
        </r>
      </text>
    </comment>
    <comment ref="E28" authorId="0">
      <text>
        <r>
          <rPr>
            <sz val="8"/>
            <rFont val="Tahoma"/>
            <family val="0"/>
          </rPr>
          <t>45:</t>
        </r>
      </text>
    </comment>
    <comment ref="E29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30" authorId="0">
      <text>
        <r>
          <rPr>
            <sz val="8"/>
            <rFont val="Tahoma"/>
            <family val="0"/>
          </rPr>
          <t>55:</t>
        </r>
      </text>
    </comment>
    <comment ref="E31" authorId="0">
      <text>
        <r>
          <rPr>
            <sz val="8"/>
            <rFont val="Tahoma"/>
            <family val="0"/>
          </rPr>
          <t>60:</t>
        </r>
      </text>
    </comment>
    <comment ref="E32" authorId="0">
      <text>
        <r>
          <rPr>
            <sz val="8"/>
            <rFont val="Tahoma"/>
            <family val="0"/>
          </rPr>
          <t>65:</t>
        </r>
      </text>
    </comment>
    <comment ref="E33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34" authorId="0">
      <text>
        <r>
          <rPr>
            <sz val="8"/>
            <rFont val="Tahoma"/>
            <family val="0"/>
          </rPr>
          <t>75:</t>
        </r>
      </text>
    </comment>
    <comment ref="E35" authorId="0">
      <text>
        <r>
          <rPr>
            <sz val="8"/>
            <rFont val="Tahoma"/>
            <family val="0"/>
          </rPr>
          <t>80:</t>
        </r>
      </text>
    </comment>
    <comment ref="E36" authorId="0">
      <text>
        <r>
          <rPr>
            <sz val="8"/>
            <rFont val="Tahoma"/>
            <family val="0"/>
          </rPr>
          <t>85:</t>
        </r>
      </text>
    </comment>
    <comment ref="E37" authorId="0">
      <text>
        <r>
          <rPr>
            <sz val="8"/>
            <rFont val="Tahoma"/>
            <family val="0"/>
          </rPr>
          <t>90:</t>
        </r>
      </text>
    </comment>
    <comment ref="E38" authorId="0">
      <text>
        <r>
          <rPr>
            <sz val="8"/>
            <rFont val="Tahoma"/>
            <family val="0"/>
          </rPr>
          <t>95:</t>
        </r>
      </text>
    </comment>
    <comment ref="E39" authorId="0">
      <text>
        <r>
          <rPr>
            <sz val="8"/>
            <rFont val="Tahoma"/>
            <family val="0"/>
          </rPr>
          <t>100:</t>
        </r>
      </text>
    </comment>
    <comment ref="E40" authorId="0">
      <text>
        <r>
          <rPr>
            <sz val="8"/>
            <rFont val="Tahoma"/>
            <family val="0"/>
          </rPr>
          <t>105:</t>
        </r>
      </text>
    </comment>
    <comment ref="E41" authorId="0">
      <text>
        <r>
          <rPr>
            <sz val="8"/>
            <rFont val="Tahoma"/>
            <family val="0"/>
          </rPr>
          <t>110:</t>
        </r>
      </text>
    </comment>
    <comment ref="E42" authorId="0">
      <text>
        <r>
          <rPr>
            <sz val="8"/>
            <rFont val="Tahoma"/>
            <family val="0"/>
          </rPr>
          <t>115:</t>
        </r>
      </text>
    </comment>
    <comment ref="E43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<sst xmlns="http://schemas.openxmlformats.org/spreadsheetml/2006/main" count="106" uniqueCount="96">
  <si>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</si>
  <si>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</si>
  <si>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</si>
  <si>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</si>
  <si>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</si>
  <si>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</si>
  <si>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</si>
  <si>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</si>
  <si>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</si>
  <si>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</si>
  <si>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</si>
  <si>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</si>
  <si>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</si>
  <si>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</si>
  <si>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</si>
  <si>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</si>
  <si>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</si>
  <si>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</si>
  <si>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</si>
  <si>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</si>
  <si>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</si>
  <si>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</si>
  <si>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</si>
  <si>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</si>
  <si>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</si>
  <si>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</si>
  <si>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</si>
  <si>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</si>
  <si>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</si>
  <si>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</si>
  <si>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</si>
  <si>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</si>
  <si>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</si>
  <si>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</si>
  <si>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</si>
  <si>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</si>
  <si>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</si>
  <si>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</si>
  <si>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</si>
  <si>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</si>
  <si>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</si>
  <si>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</si>
  <si>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</si>
  <si>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</si>
  <si>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</si>
  <si>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</si>
  <si>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</si>
  <si>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</si>
  <si>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</si>
  <si>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</si>
  <si>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</si>
  <si>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</si>
  <si>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</si>
  <si>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</si>
  <si>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</si>
  <si>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</si>
  <si>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</si>
  <si>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</si>
  <si>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</si>
  <si>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</si>
  <si>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</si>
  <si>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</si>
  <si>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</si>
  <si>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</si>
  <si>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</si>
  <si>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</si>
  <si>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</si>
  <si>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</si>
  <si>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</si>
  <si>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</si>
  <si>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</si>
  <si>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</si>
  <si>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clear</t>
  </si>
  <si>
    <t>seasoned hardwood</t>
  </si>
  <si>
    <t>DATA INPUT</t>
  </si>
  <si>
    <t>LOPEZ LABS HEATER TEST</t>
  </si>
  <si>
    <t>OvenBack</t>
  </si>
  <si>
    <t>SideChan</t>
  </si>
  <si>
    <t>Minutes</t>
  </si>
  <si>
    <t>Outside Temperature</t>
  </si>
  <si>
    <t>HK-G0</t>
  </si>
  <si>
    <t>Outside T</t>
  </si>
  <si>
    <t>partly cloudy</t>
  </si>
  <si>
    <t>cold fuel</t>
  </si>
  <si>
    <t>large fuel</t>
  </si>
  <si>
    <t>large load</t>
  </si>
  <si>
    <t>side kindling</t>
  </si>
  <si>
    <t>close grate</t>
  </si>
  <si>
    <t>AB door open</t>
  </si>
  <si>
    <t>pile catching</t>
  </si>
  <si>
    <t>flame ball above pile</t>
  </si>
  <si>
    <t>collapse</t>
  </si>
  <si>
    <t>adj--&gt; 29</t>
  </si>
  <si>
    <t>75: slight soot wisps 78: collapse</t>
  </si>
  <si>
    <t>poke</t>
  </si>
  <si>
    <t>72:open grate  adj--&gt; 27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</si>
</sst>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sz val="8"/>
      <name val="Arial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73" fontId="4" fillId="5" borderId="0" xfId="0" applyNumberFormat="1" applyFont="1" applyFill="1" applyBorder="1" applyAlignment="1">
      <alignment horizontal="left"/>
    </xf>
    <xf numFmtId="1" fontId="4" fillId="7" borderId="16" xfId="0" applyNumberFormat="1" applyFont="1" applyFill="1" applyBorder="1" applyAlignment="1">
      <alignment horizontal="centerContinuous"/>
    </xf>
    <xf numFmtId="1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1" fontId="4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05"/>
          <c:w val="0.973"/>
          <c:h val="0.93925"/>
        </c:manualLayout>
      </c:layout>
      <c:scatterChart>
        <c:scatterStyle val="smoothMarker"/>
        <c:varyColors val="0"/>
        <c:ser>
          <c:idx val="0"/>
          <c:order val="0"/>
          <c:tx>
            <c:v>Base exit 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'HK-G03'!$E$14:$E$59</c:f>
              <c:numCache/>
            </c:numRef>
          </c:xVal>
          <c:yVal>
            <c:numRef>
              <c:f>'HK-G03'!$F$14:$F$59</c:f>
              <c:numCache/>
            </c:numRef>
          </c:yVal>
          <c:smooth val="1"/>
        </c:ser>
        <c:ser>
          <c:idx val="1"/>
          <c:order val="1"/>
          <c:tx>
            <c:v>Opacity (normalized)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'HK-G03'!$E$14:$E$59</c:f>
              <c:numCache/>
            </c:numRef>
          </c:xVal>
          <c:yVal>
            <c:numRef>
              <c:f>'HK-G03'!$G$14:$G$59</c:f>
              <c:numCache/>
            </c:numRef>
          </c:yVal>
          <c:smooth val="1"/>
        </c:ser>
        <c:axId val="55032583"/>
        <c:axId val="25531200"/>
      </c:scatterChart>
      <c:valAx>
        <c:axId val="55032583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531200"/>
        <c:crosses val="autoZero"/>
        <c:crossBetween val="midCat"/>
        <c:dispUnits/>
        <c:majorUnit val="15"/>
        <c:minorUnit val="1"/>
      </c:valAx>
      <c:valAx>
        <c:axId val="25531200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032583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362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'HK-G03'!$N$36</c:f>
              <c:strCache>
                <c:ptCount val="1"/>
                <c:pt idx="0">
                  <c:v>OvenBack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'HK-G03'!$M$37:$M$52</c:f>
              <c:numCache/>
            </c:numRef>
          </c:xVal>
          <c:yVal>
            <c:numRef>
              <c:f>'HK-G03'!$N$37:$N$52</c:f>
              <c:numCache/>
            </c:numRef>
          </c:yVal>
          <c:smooth val="1"/>
        </c:ser>
        <c:ser>
          <c:idx val="1"/>
          <c:order val="1"/>
          <c:tx>
            <c:strRef>
              <c:f>'HK-G03'!$O$36</c:f>
              <c:strCache>
                <c:ptCount val="1"/>
                <c:pt idx="0">
                  <c:v>SideChan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'HK-G03'!$M$37:$M$52</c:f>
              <c:numCache/>
            </c:numRef>
          </c:xVal>
          <c:yVal>
            <c:numRef>
              <c:f>'HK-G03'!$O$37:$O$52</c:f>
              <c:numCache/>
            </c:numRef>
          </c:yVal>
          <c:smooth val="1"/>
        </c:ser>
        <c:axId val="28454209"/>
        <c:axId val="54761290"/>
      </c:scatterChart>
      <c:valAx>
        <c:axId val="28454209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crossBetween val="midCat"/>
        <c:dispUnits/>
      </c:valAx>
      <c:valAx>
        <c:axId val="54761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</xdr:row>
      <xdr:rowOff>9525</xdr:rowOff>
    </xdr:from>
    <xdr:to>
      <xdr:col>23</xdr:col>
      <xdr:colOff>371475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0287000" y="809625"/>
        <a:ext cx="4000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35</xdr:row>
      <xdr:rowOff>9525</xdr:rowOff>
    </xdr:from>
    <xdr:to>
      <xdr:col>23</xdr:col>
      <xdr:colOff>123825</xdr:colOff>
      <xdr:row>49</xdr:row>
      <xdr:rowOff>104775</xdr:rowOff>
    </xdr:to>
    <xdr:graphicFrame>
      <xdr:nvGraphicFramePr>
        <xdr:cNvPr id="2" name="Chart 31"/>
        <xdr:cNvGraphicFramePr/>
      </xdr:nvGraphicFramePr>
      <xdr:xfrm>
        <a:off x="9363075" y="5905500"/>
        <a:ext cx="46767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7">
      <selection activeCell="I54" sqref="I54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119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89" t="s">
        <v>75</v>
      </c>
      <c r="B1" s="90"/>
      <c r="C1" s="90"/>
      <c r="D1" s="90"/>
      <c r="E1" s="90"/>
      <c r="F1" s="90"/>
      <c r="G1" s="90"/>
      <c r="H1" s="112"/>
      <c r="I1" s="90"/>
      <c r="J1" s="91"/>
      <c r="K1"/>
      <c r="L1" s="1"/>
      <c r="M1" s="55" t="s">
        <v>0</v>
      </c>
      <c r="N1" s="55"/>
      <c r="O1" s="55"/>
      <c r="P1" s="55"/>
      <c r="Q1" s="55"/>
    </row>
    <row r="2" spans="1:21" ht="18.75" outlineLevel="1" thickTop="1">
      <c r="A2" s="2" t="s">
        <v>62</v>
      </c>
      <c r="C2" s="50"/>
      <c r="D2" s="50"/>
      <c r="E2" s="50"/>
      <c r="F2" s="50"/>
      <c r="G2" s="50"/>
      <c r="H2" s="113"/>
      <c r="I2" s="8"/>
      <c r="J2" s="8"/>
      <c r="K2"/>
      <c r="L2" s="71" t="s">
        <v>1</v>
      </c>
      <c r="M2"/>
      <c r="N2" s="66" t="s">
        <v>2</v>
      </c>
      <c r="O2" s="67"/>
      <c r="P2" s="67"/>
      <c r="Q2" s="68"/>
      <c r="R2"/>
      <c r="S2" s="26"/>
      <c r="T2" s="26"/>
      <c r="U2" s="26"/>
    </row>
    <row r="3" spans="1:17" ht="14.25" outlineLevel="1">
      <c r="A3" s="40" t="s">
        <v>3</v>
      </c>
      <c r="B3" s="37"/>
      <c r="C3" s="41" t="str">
        <f>RunNumber</f>
        <v>HK-G0</v>
      </c>
      <c r="D3" s="50"/>
      <c r="E3" s="34" t="s">
        <v>4</v>
      </c>
      <c r="F3" s="36"/>
      <c r="G3" s="22" t="str">
        <f>System</f>
        <v>HK</v>
      </c>
      <c r="H3" s="114" t="s">
        <v>5</v>
      </c>
      <c r="I3" s="36"/>
      <c r="J3" s="36">
        <v>60207</v>
      </c>
      <c r="K3"/>
      <c r="L3" s="53"/>
      <c r="M3" s="53"/>
      <c r="N3" s="69" t="s">
        <v>63</v>
      </c>
      <c r="O3" s="61"/>
      <c r="P3" s="61"/>
      <c r="Q3" s="70"/>
    </row>
    <row r="4" spans="1:17" ht="13.5" outlineLevel="1" thickBot="1">
      <c r="A4" s="8" t="s">
        <v>6</v>
      </c>
      <c r="B4" s="8"/>
      <c r="C4" s="21">
        <v>18</v>
      </c>
      <c r="D4" s="50" t="s">
        <v>7</v>
      </c>
      <c r="E4" s="8" t="s">
        <v>8</v>
      </c>
      <c r="F4" s="8"/>
      <c r="G4" s="12">
        <f>TimeSinceLast</f>
        <v>24</v>
      </c>
      <c r="H4" s="115" t="s">
        <v>79</v>
      </c>
      <c r="I4" s="8"/>
      <c r="J4" s="12"/>
      <c r="K4"/>
      <c r="L4" s="53"/>
      <c r="M4" s="53"/>
      <c r="N4" s="2" t="s">
        <v>9</v>
      </c>
      <c r="O4"/>
      <c r="P4"/>
      <c r="Q4"/>
    </row>
    <row r="5" spans="1:17" ht="13.5" outlineLevel="1" thickBot="1">
      <c r="A5" s="8" t="s">
        <v>10</v>
      </c>
      <c r="B5" s="8"/>
      <c r="C5" s="21">
        <f>SUM(Weight)+WtKindl-UnburnedFuel</f>
        <v>63.199999999999996</v>
      </c>
      <c r="D5" s="50"/>
      <c r="E5" s="8" t="s">
        <v>11</v>
      </c>
      <c r="F5" s="28">
        <v>0.3854166666666667</v>
      </c>
      <c r="G5" s="27">
        <f>StartTime</f>
        <v>0.7569444444444445</v>
      </c>
      <c r="H5" s="115" t="s">
        <v>12</v>
      </c>
      <c r="I5" s="54"/>
      <c r="J5" s="57" t="s">
        <v>72</v>
      </c>
      <c r="K5"/>
      <c r="L5" s="5" t="s">
        <v>13</v>
      </c>
      <c r="M5" s="6"/>
      <c r="N5" s="3"/>
      <c r="O5" s="4"/>
      <c r="P5" s="4"/>
      <c r="Q5" s="7"/>
    </row>
    <row r="6" spans="1:17" ht="12.75" outlineLevel="1">
      <c r="A6" s="8" t="s">
        <v>14</v>
      </c>
      <c r="B6" s="8"/>
      <c r="C6" s="12">
        <f>KindlingWeight</f>
        <v>2.5</v>
      </c>
      <c r="D6" s="50"/>
      <c r="E6" s="34" t="s">
        <v>15</v>
      </c>
      <c r="F6" s="22"/>
      <c r="G6" s="22"/>
      <c r="H6" s="114"/>
      <c r="I6" s="22"/>
      <c r="J6" s="35"/>
      <c r="K6"/>
      <c r="L6" t="s">
        <v>3</v>
      </c>
      <c r="M6"/>
      <c r="N6" s="60" t="s">
        <v>80</v>
      </c>
      <c r="O6" t="s">
        <v>5</v>
      </c>
      <c r="P6"/>
      <c r="Q6" s="64">
        <v>60221</v>
      </c>
    </row>
    <row r="7" spans="1:17" ht="12.75" outlineLevel="1">
      <c r="A7" s="8" t="s">
        <v>16</v>
      </c>
      <c r="B7" s="8"/>
      <c r="C7" s="29">
        <f>COUNT(PcWt)</f>
        <v>11</v>
      </c>
      <c r="D7" s="50"/>
      <c r="E7" s="8" t="s">
        <v>64</v>
      </c>
      <c r="F7" s="8"/>
      <c r="G7" s="8" t="s">
        <v>73</v>
      </c>
      <c r="H7" s="113"/>
      <c r="I7" s="51"/>
      <c r="J7" s="51"/>
      <c r="K7"/>
      <c r="L7" t="s">
        <v>8</v>
      </c>
      <c r="M7"/>
      <c r="N7" s="62">
        <v>24</v>
      </c>
      <c r="O7" t="s">
        <v>4</v>
      </c>
      <c r="P7"/>
      <c r="Q7" s="60" t="s">
        <v>61</v>
      </c>
    </row>
    <row r="8" spans="1:17" ht="12.75" outlineLevel="1">
      <c r="A8" s="8" t="s">
        <v>17</v>
      </c>
      <c r="B8" s="9"/>
      <c r="C8" s="32">
        <f>(AVERAGE(Length)+SUM(Circumf))/(WtFuel-WtKindl)</f>
        <v>2.609349258649094</v>
      </c>
      <c r="D8" s="50"/>
      <c r="E8" s="8" t="s">
        <v>65</v>
      </c>
      <c r="F8" s="9"/>
      <c r="G8" s="8"/>
      <c r="H8" s="113"/>
      <c r="I8" s="51"/>
      <c r="J8" s="51"/>
      <c r="K8"/>
      <c r="L8" t="s">
        <v>11</v>
      </c>
      <c r="M8"/>
      <c r="N8" s="65">
        <v>0.7569444444444445</v>
      </c>
      <c r="O8" t="s">
        <v>81</v>
      </c>
      <c r="P8"/>
      <c r="Q8" s="62">
        <v>25</v>
      </c>
    </row>
    <row r="9" spans="1:17" ht="12.75" outlineLevel="1">
      <c r="A9" s="8" t="s">
        <v>18</v>
      </c>
      <c r="B9" s="8"/>
      <c r="C9" s="21">
        <v>1.75</v>
      </c>
      <c r="D9" s="50"/>
      <c r="E9" s="8" t="s">
        <v>66</v>
      </c>
      <c r="F9" s="8"/>
      <c r="G9" s="8"/>
      <c r="H9" s="113"/>
      <c r="I9" s="51"/>
      <c r="J9" s="51"/>
      <c r="K9"/>
      <c r="N9"/>
      <c r="O9" t="s">
        <v>12</v>
      </c>
      <c r="P9" s="111" t="s">
        <v>82</v>
      </c>
      <c r="Q9" s="60"/>
    </row>
    <row r="10" spans="1:17" ht="13.5" outlineLevel="1" thickBot="1">
      <c r="A10" s="8" t="s">
        <v>19</v>
      </c>
      <c r="B10" s="8"/>
      <c r="C10" s="13">
        <f>AVERAGE(StackTemp)</f>
        <v>319.5230769230769</v>
      </c>
      <c r="D10" s="50"/>
      <c r="E10"/>
      <c r="F10"/>
      <c r="G10" s="8"/>
      <c r="H10" s="113"/>
      <c r="I10" s="52"/>
      <c r="J10" s="52"/>
      <c r="K10"/>
      <c r="L10" s="53"/>
      <c r="M10" s="53"/>
      <c r="N10" s="53"/>
      <c r="O10" s="53"/>
      <c r="P10" s="53"/>
      <c r="Q10" s="53"/>
    </row>
    <row r="11" spans="1:17" ht="13.5" outlineLevel="1" thickBot="1">
      <c r="A11" s="8" t="s">
        <v>20</v>
      </c>
      <c r="B11" s="8"/>
      <c r="C11" s="30">
        <f>AVERAGE(Ocalc)/10-2</f>
        <v>-0.9420062695924769</v>
      </c>
      <c r="D11" s="50"/>
      <c r="E11" s="8"/>
      <c r="F11" s="8"/>
      <c r="G11" s="8"/>
      <c r="H11" s="113"/>
      <c r="I11" s="51"/>
      <c r="J11" s="51"/>
      <c r="K11"/>
      <c r="L11" s="5" t="s">
        <v>15</v>
      </c>
      <c r="M11" s="6"/>
      <c r="N11" s="3"/>
      <c r="O11" s="4"/>
      <c r="P11" s="4"/>
      <c r="Q11" s="7"/>
    </row>
    <row r="12" spans="1:15" ht="12.75" outlineLevel="1">
      <c r="A12" s="8" t="s">
        <v>21</v>
      </c>
      <c r="B12" s="8"/>
      <c r="C12" s="30">
        <f>AVERAGE(CO)/1000</f>
        <v>0.03358974358974359</v>
      </c>
      <c r="D12" s="50"/>
      <c r="E12" s="34" t="s">
        <v>74</v>
      </c>
      <c r="F12" s="22"/>
      <c r="G12" s="22"/>
      <c r="H12" s="116"/>
      <c r="I12" s="22"/>
      <c r="J12" s="35"/>
      <c r="K12"/>
      <c r="O12" s="2" t="s">
        <v>22</v>
      </c>
    </row>
    <row r="13" spans="1:17" ht="13.5" thickBot="1">
      <c r="A13" s="8" t="s">
        <v>23</v>
      </c>
      <c r="B13" s="8"/>
      <c r="C13" s="31">
        <f>SQRT(528/(460+AvStackTemp))</f>
        <v>0.8230049987034227</v>
      </c>
      <c r="D13" s="86"/>
      <c r="E13" s="20" t="s">
        <v>24</v>
      </c>
      <c r="F13" s="38" t="s">
        <v>25</v>
      </c>
      <c r="G13" s="2" t="s">
        <v>68</v>
      </c>
      <c r="H13" s="117" t="s">
        <v>67</v>
      </c>
      <c r="I13" s="38" t="s">
        <v>69</v>
      </c>
      <c r="J13" s="88" t="s">
        <v>70</v>
      </c>
      <c r="K13"/>
      <c r="L13" s="2" t="s">
        <v>26</v>
      </c>
      <c r="N13" s="72" t="s">
        <v>71</v>
      </c>
      <c r="O13" s="95">
        <v>78</v>
      </c>
      <c r="P13" s="96" t="s">
        <v>83</v>
      </c>
      <c r="Q13" s="97"/>
    </row>
    <row r="14" spans="1:17" ht="13.5" thickBot="1">
      <c r="A14" s="8" t="s">
        <v>27</v>
      </c>
      <c r="B14" s="8"/>
      <c r="C14" s="31">
        <f>20.9/(20.9-AvO2)</f>
        <v>0.9568718066479133</v>
      </c>
      <c r="D14" s="50"/>
      <c r="E14" s="20">
        <v>0</v>
      </c>
      <c r="F14" s="63">
        <v>113.3</v>
      </c>
      <c r="G14" s="13">
        <f aca="true" t="shared" si="0" ref="G14:G41">500*(R_ohms-R_zero)/(R_Span-R_zero)</f>
        <v>0</v>
      </c>
      <c r="H14" s="118">
        <v>30</v>
      </c>
      <c r="I14" s="104">
        <v>30</v>
      </c>
      <c r="J14" s="92">
        <v>250</v>
      </c>
      <c r="K14"/>
      <c r="N14" s="73"/>
      <c r="O14" s="98">
        <v>56</v>
      </c>
      <c r="P14" s="99" t="s">
        <v>84</v>
      </c>
      <c r="Q14" s="100"/>
    </row>
    <row r="15" spans="1:17" ht="12.75">
      <c r="A15" s="9" t="s">
        <v>28</v>
      </c>
      <c r="B15" s="9"/>
      <c r="C15" s="32">
        <f>((WtFuel-(UnburnedFuel*(1+AvMoisture/100)))/RunLength)*(1-(AvMoisture/100))/2.2</f>
        <v>13.460779220779221</v>
      </c>
      <c r="D15" s="50"/>
      <c r="E15" s="20">
        <v>0.5</v>
      </c>
      <c r="F15" s="63">
        <v>123.1</v>
      </c>
      <c r="G15" s="13">
        <f t="shared" si="0"/>
        <v>25</v>
      </c>
      <c r="H15" s="62">
        <v>41</v>
      </c>
      <c r="I15" s="93"/>
      <c r="J15" s="93"/>
      <c r="K15" s="58"/>
      <c r="L15" s="8" t="s">
        <v>29</v>
      </c>
      <c r="M15" s="8"/>
      <c r="N15" s="74">
        <v>2.5</v>
      </c>
      <c r="O15" s="98">
        <v>34</v>
      </c>
      <c r="P15" s="99" t="s">
        <v>85</v>
      </c>
      <c r="Q15" s="100"/>
    </row>
    <row r="16" spans="1:17" ht="12.75">
      <c r="A16" s="8" t="s">
        <v>30</v>
      </c>
      <c r="B16" s="8"/>
      <c r="C16" s="30">
        <f>(8.05+0.0035*(AvStackTemp-70))+(2.58+0.00114*AvStackTemp)</f>
        <v>11.867587076923078</v>
      </c>
      <c r="D16" s="50"/>
      <c r="E16" s="20">
        <v>1</v>
      </c>
      <c r="F16" s="63">
        <v>141</v>
      </c>
      <c r="G16" s="13">
        <f t="shared" si="0"/>
        <v>70.45454545454545</v>
      </c>
      <c r="H16" s="62">
        <v>61</v>
      </c>
      <c r="I16" s="106" t="s">
        <v>87</v>
      </c>
      <c r="J16" s="106"/>
      <c r="K16" s="107"/>
      <c r="L16" s="2" t="s">
        <v>31</v>
      </c>
      <c r="N16" s="74"/>
      <c r="O16" s="98">
        <v>12</v>
      </c>
      <c r="P16" s="99" t="s">
        <v>86</v>
      </c>
      <c r="Q16" s="100"/>
    </row>
    <row r="17" spans="1:17" ht="12.75">
      <c r="A17" s="8" t="s">
        <v>32</v>
      </c>
      <c r="B17" s="8"/>
      <c r="C17" s="30">
        <f>gmKgCO*9.75/86</f>
        <v>0.21608335045299373</v>
      </c>
      <c r="D17" s="50"/>
      <c r="E17" s="20">
        <v>1.5</v>
      </c>
      <c r="F17" s="63">
        <v>156</v>
      </c>
      <c r="G17" s="13">
        <f t="shared" si="0"/>
        <v>31.818181818181817</v>
      </c>
      <c r="H17" s="62">
        <v>44</v>
      </c>
      <c r="I17" s="106"/>
      <c r="J17" s="106"/>
      <c r="K17" s="107"/>
      <c r="L17" s="53"/>
      <c r="M17" s="53"/>
      <c r="O17" s="101"/>
      <c r="P17" s="102" t="s">
        <v>88</v>
      </c>
      <c r="Q17" s="103"/>
    </row>
    <row r="18" spans="1:17" ht="12.75">
      <c r="A18" s="8" t="s">
        <v>33</v>
      </c>
      <c r="B18" s="8"/>
      <c r="C18" s="30" t="e">
        <f>gmKgCondar*33/86</f>
        <v>#DIV/0!</v>
      </c>
      <c r="D18" s="50"/>
      <c r="E18" s="20">
        <v>2</v>
      </c>
      <c r="F18" s="63">
        <v>169</v>
      </c>
      <c r="G18" s="13">
        <f t="shared" si="0"/>
        <v>27.272727272727273</v>
      </c>
      <c r="H18" s="62">
        <v>42</v>
      </c>
      <c r="I18" s="106"/>
      <c r="J18" s="106"/>
      <c r="K18" s="107"/>
      <c r="L18" s="53"/>
      <c r="M18"/>
      <c r="O18"/>
      <c r="P18"/>
      <c r="Q18"/>
    </row>
    <row r="19" spans="1:17" ht="15">
      <c r="A19" s="8" t="s">
        <v>34</v>
      </c>
      <c r="B19" s="8"/>
      <c r="C19" s="30">
        <f>((1.5*DilutionFactor*(AvStackTemp-70))/8600)*100</f>
        <v>4.164446466553445</v>
      </c>
      <c r="D19" s="50"/>
      <c r="E19" s="20">
        <v>2.5</v>
      </c>
      <c r="F19" s="63">
        <v>183</v>
      </c>
      <c r="G19" s="13">
        <f t="shared" si="0"/>
        <v>15.909090909090908</v>
      </c>
      <c r="H19" s="62">
        <v>37</v>
      </c>
      <c r="I19" s="106"/>
      <c r="J19" s="106"/>
      <c r="K19" s="107"/>
      <c r="L19" s="53"/>
      <c r="M19" s="39" t="s">
        <v>35</v>
      </c>
      <c r="N19" s="56"/>
      <c r="O19" s="56"/>
      <c r="P19" s="56"/>
      <c r="Q19" s="56"/>
    </row>
    <row r="20" spans="1:17" ht="12.75">
      <c r="A20" s="33" t="s">
        <v>36</v>
      </c>
      <c r="B20" s="10"/>
      <c r="C20" s="10" t="e">
        <f>Catch</f>
        <v>#DIV/0!</v>
      </c>
      <c r="D20" s="50"/>
      <c r="E20" s="20">
        <v>3</v>
      </c>
      <c r="F20" s="63">
        <v>206</v>
      </c>
      <c r="G20" s="13">
        <f t="shared" si="0"/>
        <v>9.090909090909092</v>
      </c>
      <c r="H20" s="62">
        <v>34</v>
      </c>
      <c r="I20" s="106"/>
      <c r="J20" s="106"/>
      <c r="K20" s="107"/>
      <c r="L20" s="53"/>
      <c r="M20" s="34" t="s">
        <v>37</v>
      </c>
      <c r="N20" s="22" t="s">
        <v>38</v>
      </c>
      <c r="O20" s="22" t="s">
        <v>39</v>
      </c>
      <c r="P20" s="22" t="s">
        <v>40</v>
      </c>
      <c r="Q20" s="35" t="s">
        <v>41</v>
      </c>
    </row>
    <row r="21" spans="1:17" ht="12.75">
      <c r="A21" s="42" t="s">
        <v>42</v>
      </c>
      <c r="B21" s="43"/>
      <c r="C21" s="44" t="e">
        <f>(Catch/RunLength)*3.04*(DilutionFactor)/(0.4*StackTempFactor)</f>
        <v>#DIV/0!</v>
      </c>
      <c r="D21" s="50"/>
      <c r="E21" s="20">
        <v>3.5</v>
      </c>
      <c r="F21" s="63">
        <v>214.6</v>
      </c>
      <c r="G21" s="13">
        <f t="shared" si="0"/>
        <v>9.090909090909092</v>
      </c>
      <c r="H21" s="62">
        <v>34</v>
      </c>
      <c r="I21" s="106"/>
      <c r="J21" s="106"/>
      <c r="K21" s="107"/>
      <c r="L21" s="53"/>
      <c r="M21" s="83">
        <v>1</v>
      </c>
      <c r="N21" s="75">
        <v>6.6</v>
      </c>
      <c r="O21" s="76"/>
      <c r="P21" s="76">
        <v>18.5</v>
      </c>
      <c r="Q21" s="77">
        <v>16</v>
      </c>
    </row>
    <row r="22" spans="1:17" ht="12.75">
      <c r="A22" s="45" t="s">
        <v>43</v>
      </c>
      <c r="B22" s="8"/>
      <c r="C22" s="46">
        <f>59.3*AvCO*DilutionFactor</f>
        <v>1.905965962969996</v>
      </c>
      <c r="D22" s="50"/>
      <c r="E22" s="20">
        <v>4</v>
      </c>
      <c r="F22" s="63">
        <v>228</v>
      </c>
      <c r="G22" s="13">
        <f t="shared" si="0"/>
        <v>9.090909090909092</v>
      </c>
      <c r="H22" s="62">
        <v>34</v>
      </c>
      <c r="I22" s="106"/>
      <c r="J22" s="106"/>
      <c r="K22" s="107"/>
      <c r="L22" s="53"/>
      <c r="M22" s="84">
        <v>2</v>
      </c>
      <c r="N22" s="78">
        <v>10.8</v>
      </c>
      <c r="O22" s="63"/>
      <c r="P22" s="63">
        <v>18.5</v>
      </c>
      <c r="Q22" s="79">
        <v>17.5</v>
      </c>
    </row>
    <row r="23" spans="1:17" ht="12.75">
      <c r="A23" s="45" t="s">
        <v>44</v>
      </c>
      <c r="B23" s="11"/>
      <c r="C23" s="46" t="e">
        <f>100-COLoss-HCLoss</f>
        <v>#DIV/0!</v>
      </c>
      <c r="D23" s="50"/>
      <c r="E23" s="20">
        <v>5</v>
      </c>
      <c r="F23" s="63">
        <v>235.3</v>
      </c>
      <c r="G23" s="13">
        <f t="shared" si="0"/>
        <v>9.090909090909092</v>
      </c>
      <c r="H23" s="62">
        <v>34</v>
      </c>
      <c r="I23" s="106"/>
      <c r="J23" s="106"/>
      <c r="K23" s="107"/>
      <c r="L23" s="53"/>
      <c r="M23" s="84">
        <v>3</v>
      </c>
      <c r="N23" s="78">
        <v>6.8</v>
      </c>
      <c r="O23" s="63"/>
      <c r="P23" s="63">
        <v>16</v>
      </c>
      <c r="Q23" s="79">
        <v>15.5</v>
      </c>
    </row>
    <row r="24" spans="1:17" ht="12.75">
      <c r="A24" s="45" t="s">
        <v>45</v>
      </c>
      <c r="B24" s="8"/>
      <c r="C24" s="46">
        <f>100-DryGasLoss-BoilWaterLoss</f>
        <v>83.96796645652348</v>
      </c>
      <c r="D24" s="50"/>
      <c r="E24" s="20">
        <v>5.5</v>
      </c>
      <c r="F24" s="63">
        <v>241</v>
      </c>
      <c r="G24" s="13">
        <f t="shared" si="0"/>
        <v>9.090909090909092</v>
      </c>
      <c r="H24" s="62">
        <v>34</v>
      </c>
      <c r="I24" s="106"/>
      <c r="J24" s="106"/>
      <c r="K24" s="107"/>
      <c r="L24" s="53"/>
      <c r="M24" s="84">
        <v>4</v>
      </c>
      <c r="N24" s="78">
        <v>6.75</v>
      </c>
      <c r="O24" s="63"/>
      <c r="P24" s="63">
        <v>18.25</v>
      </c>
      <c r="Q24" s="79">
        <v>16</v>
      </c>
    </row>
    <row r="25" spans="1:17" ht="12.75">
      <c r="A25" s="47" t="s">
        <v>46</v>
      </c>
      <c r="B25" s="48"/>
      <c r="C25" s="49" t="e">
        <f>HTransEffic*CombustEffic/100</f>
        <v>#DIV/0!</v>
      </c>
      <c r="D25" s="50"/>
      <c r="E25" s="20">
        <v>6</v>
      </c>
      <c r="F25" s="63">
        <v>250</v>
      </c>
      <c r="G25" s="13">
        <f t="shared" si="0"/>
        <v>11.363636363636363</v>
      </c>
      <c r="H25" s="62">
        <v>35</v>
      </c>
      <c r="I25" s="106"/>
      <c r="J25" s="106"/>
      <c r="K25" s="107"/>
      <c r="L25" s="53"/>
      <c r="M25" s="84">
        <v>5</v>
      </c>
      <c r="N25" s="78">
        <v>10.1</v>
      </c>
      <c r="O25" s="63"/>
      <c r="P25" s="63">
        <v>20.2</v>
      </c>
      <c r="Q25" s="79">
        <v>15.5</v>
      </c>
    </row>
    <row r="26" spans="1:17" ht="12.75">
      <c r="A26" s="16" t="s">
        <v>47</v>
      </c>
      <c r="B26" s="17" t="s">
        <v>48</v>
      </c>
      <c r="C26" s="17" t="s">
        <v>49</v>
      </c>
      <c r="D26" s="17" t="s">
        <v>50</v>
      </c>
      <c r="E26" s="20">
        <v>7</v>
      </c>
      <c r="F26" s="63">
        <v>257.5</v>
      </c>
      <c r="G26" s="13">
        <f t="shared" si="0"/>
        <v>13.636363636363637</v>
      </c>
      <c r="H26" s="62">
        <v>36</v>
      </c>
      <c r="I26" s="106"/>
      <c r="J26" s="106"/>
      <c r="K26" s="107"/>
      <c r="L26" s="53"/>
      <c r="M26" s="84">
        <v>6</v>
      </c>
      <c r="N26" s="78">
        <v>6.75</v>
      </c>
      <c r="O26" s="63"/>
      <c r="P26" s="63">
        <v>17.5</v>
      </c>
      <c r="Q26" s="79">
        <v>16</v>
      </c>
    </row>
    <row r="27" spans="1:17" ht="12.75">
      <c r="A27" s="18" t="s">
        <v>51</v>
      </c>
      <c r="B27" s="19" t="s">
        <v>52</v>
      </c>
      <c r="C27" s="19" t="s">
        <v>52</v>
      </c>
      <c r="D27" s="19" t="s">
        <v>53</v>
      </c>
      <c r="E27" s="20">
        <v>8</v>
      </c>
      <c r="F27" s="63">
        <v>262.8</v>
      </c>
      <c r="G27" s="13">
        <f t="shared" si="0"/>
        <v>9.090909090909092</v>
      </c>
      <c r="H27" s="62">
        <v>34</v>
      </c>
      <c r="I27" s="106"/>
      <c r="J27" s="106"/>
      <c r="K27" s="107"/>
      <c r="L27" s="53"/>
      <c r="M27" s="84">
        <v>7</v>
      </c>
      <c r="N27" s="78">
        <v>6.6</v>
      </c>
      <c r="O27" s="63"/>
      <c r="P27" s="63">
        <v>15.75</v>
      </c>
      <c r="Q27" s="79">
        <v>16</v>
      </c>
    </row>
    <row r="28" spans="1:17" ht="12.75">
      <c r="A28" s="23">
        <v>1</v>
      </c>
      <c r="B28" s="60"/>
      <c r="C28" s="60"/>
      <c r="D28" s="10">
        <f aca="true" t="shared" si="1" ref="D28:D33">IF(FiltDirty-FiltClean&gt;0,FiltDirty-FiltClean,0)</f>
        <v>0</v>
      </c>
      <c r="E28" s="20">
        <v>9</v>
      </c>
      <c r="F28" s="63">
        <v>273.8</v>
      </c>
      <c r="G28" s="13">
        <f t="shared" si="0"/>
        <v>11.363636363636363</v>
      </c>
      <c r="H28" s="62">
        <v>35</v>
      </c>
      <c r="I28" s="106"/>
      <c r="J28" s="106"/>
      <c r="K28" s="107"/>
      <c r="L28" s="53"/>
      <c r="M28" s="84">
        <v>8</v>
      </c>
      <c r="N28" s="78">
        <v>6.3</v>
      </c>
      <c r="O28" s="63"/>
      <c r="P28" s="63">
        <v>17.5</v>
      </c>
      <c r="Q28" s="79">
        <v>17</v>
      </c>
    </row>
    <row r="29" spans="1:17" ht="12.75">
      <c r="A29" s="23">
        <v>2</v>
      </c>
      <c r="B29" s="60"/>
      <c r="C29" s="60"/>
      <c r="D29" s="10">
        <f t="shared" si="1"/>
        <v>0</v>
      </c>
      <c r="E29" s="20">
        <v>10</v>
      </c>
      <c r="F29" s="63">
        <v>284.4</v>
      </c>
      <c r="G29" s="13">
        <f t="shared" si="0"/>
        <v>6.818181818181818</v>
      </c>
      <c r="H29" s="62">
        <v>33</v>
      </c>
      <c r="I29" s="106" t="s">
        <v>89</v>
      </c>
      <c r="J29" s="106"/>
      <c r="K29" s="107"/>
      <c r="L29" s="53"/>
      <c r="M29" s="84">
        <v>9</v>
      </c>
      <c r="N29" s="78"/>
      <c r="O29" s="63"/>
      <c r="P29" s="63"/>
      <c r="Q29" s="79"/>
    </row>
    <row r="30" spans="1:17" ht="12.75">
      <c r="A30" s="23">
        <v>3</v>
      </c>
      <c r="B30" s="60"/>
      <c r="C30" s="60"/>
      <c r="D30" s="10">
        <f t="shared" si="1"/>
        <v>0</v>
      </c>
      <c r="E30" s="20">
        <v>11</v>
      </c>
      <c r="F30" s="63">
        <v>294.1</v>
      </c>
      <c r="G30" s="13">
        <f t="shared" si="0"/>
        <v>6.818181818181818</v>
      </c>
      <c r="H30" s="62">
        <v>33</v>
      </c>
      <c r="I30" s="106"/>
      <c r="J30" s="106"/>
      <c r="K30" s="107"/>
      <c r="L30" s="53"/>
      <c r="M30" s="84">
        <v>10</v>
      </c>
      <c r="N30" s="78"/>
      <c r="O30" s="63"/>
      <c r="P30" s="63"/>
      <c r="Q30" s="79"/>
    </row>
    <row r="31" spans="1:17" ht="12.75">
      <c r="A31" s="23">
        <v>4</v>
      </c>
      <c r="B31" s="60"/>
      <c r="C31" s="60"/>
      <c r="D31" s="10">
        <f t="shared" si="1"/>
        <v>0</v>
      </c>
      <c r="E31" s="20">
        <v>12</v>
      </c>
      <c r="F31" s="63">
        <v>301.9</v>
      </c>
      <c r="G31" s="13">
        <f t="shared" si="0"/>
        <v>4.545454545454546</v>
      </c>
      <c r="H31" s="62">
        <v>32</v>
      </c>
      <c r="I31" s="106" t="s">
        <v>90</v>
      </c>
      <c r="J31" s="106"/>
      <c r="K31" s="107"/>
      <c r="L31" s="53"/>
      <c r="M31" s="84">
        <v>11</v>
      </c>
      <c r="N31" s="78"/>
      <c r="O31" s="63"/>
      <c r="P31" s="63"/>
      <c r="Q31" s="79"/>
    </row>
    <row r="32" spans="1:17" ht="12.75">
      <c r="A32" s="23">
        <v>5</v>
      </c>
      <c r="B32" s="60"/>
      <c r="C32" s="60"/>
      <c r="D32" s="10">
        <f t="shared" si="1"/>
        <v>0</v>
      </c>
      <c r="E32" s="20">
        <v>13</v>
      </c>
      <c r="F32" s="63">
        <v>308.4</v>
      </c>
      <c r="G32" s="13">
        <f t="shared" si="0"/>
        <v>4.545454545454546</v>
      </c>
      <c r="H32" s="62">
        <v>32</v>
      </c>
      <c r="I32" s="106"/>
      <c r="J32" s="106"/>
      <c r="K32" s="107"/>
      <c r="L32" s="53"/>
      <c r="M32" s="85">
        <v>12</v>
      </c>
      <c r="N32" s="80"/>
      <c r="O32" s="81"/>
      <c r="P32" s="81"/>
      <c r="Q32" s="82"/>
    </row>
    <row r="33" spans="1:17" ht="12.75">
      <c r="A33" s="23">
        <v>6</v>
      </c>
      <c r="B33" s="60"/>
      <c r="C33" s="60"/>
      <c r="D33" s="10">
        <f t="shared" si="1"/>
        <v>0</v>
      </c>
      <c r="E33" s="20">
        <v>14</v>
      </c>
      <c r="F33" s="63">
        <v>309.4</v>
      </c>
      <c r="G33" s="13">
        <f t="shared" si="0"/>
        <v>2.272727272727273</v>
      </c>
      <c r="H33" s="62">
        <v>31</v>
      </c>
      <c r="I33" s="106"/>
      <c r="J33" s="106"/>
      <c r="K33" s="107"/>
      <c r="L33" s="53"/>
      <c r="M33" s="85"/>
      <c r="N33" s="80"/>
      <c r="O33" s="81"/>
      <c r="P33" s="81"/>
      <c r="Q33" s="82"/>
    </row>
    <row r="34" spans="1:17" ht="12.75">
      <c r="A34" s="24" t="s">
        <v>54</v>
      </c>
      <c r="B34" s="60"/>
      <c r="C34" s="60"/>
      <c r="D34" s="10"/>
      <c r="E34" s="20">
        <v>15</v>
      </c>
      <c r="F34" s="63">
        <v>319</v>
      </c>
      <c r="G34" s="13">
        <f t="shared" si="0"/>
        <v>2.272727272727273</v>
      </c>
      <c r="H34" s="62">
        <v>31</v>
      </c>
      <c r="I34" s="106"/>
      <c r="J34" s="106"/>
      <c r="K34" s="107"/>
      <c r="L34" s="53"/>
      <c r="M34" s="53"/>
      <c r="N34" s="53"/>
      <c r="O34" s="53"/>
      <c r="P34" s="53"/>
      <c r="Q34" s="53"/>
    </row>
    <row r="35" spans="1:17" ht="12.75">
      <c r="A35" s="25" t="s">
        <v>55</v>
      </c>
      <c r="B35" s="61"/>
      <c r="C35" s="61"/>
      <c r="D35" s="87"/>
      <c r="E35" s="20">
        <v>16</v>
      </c>
      <c r="F35" s="63">
        <v>325</v>
      </c>
      <c r="G35" s="13">
        <f t="shared" si="0"/>
        <v>2.272727272727273</v>
      </c>
      <c r="H35" s="62">
        <v>31</v>
      </c>
      <c r="I35" s="106"/>
      <c r="J35" s="106"/>
      <c r="K35" s="107"/>
      <c r="L35" s="53"/>
      <c r="M35" s="53"/>
      <c r="N35" s="53"/>
      <c r="O35" s="53"/>
      <c r="P35" s="53"/>
      <c r="Q35" s="53"/>
    </row>
    <row r="36" spans="1:17" ht="13.5" thickBot="1">
      <c r="A36" s="10"/>
      <c r="B36" s="10" t="s">
        <v>56</v>
      </c>
      <c r="C36" s="10"/>
      <c r="D36" s="10" t="e">
        <f>+COUNT(FiltClean)*(AVERAGE(CleanControl)-AVERAGE(DirtyControl))</f>
        <v>#DIV/0!</v>
      </c>
      <c r="E36" s="20">
        <v>17</v>
      </c>
      <c r="F36" s="63">
        <v>332</v>
      </c>
      <c r="G36" s="13">
        <f t="shared" si="0"/>
        <v>2.272727272727273</v>
      </c>
      <c r="H36" s="62">
        <v>31</v>
      </c>
      <c r="I36" s="106"/>
      <c r="J36" s="106"/>
      <c r="K36" s="107"/>
      <c r="M36" s="2" t="s">
        <v>78</v>
      </c>
      <c r="N36" s="53" t="s">
        <v>76</v>
      </c>
      <c r="O36" s="53" t="s">
        <v>77</v>
      </c>
      <c r="P36" s="53"/>
      <c r="Q36" s="53"/>
    </row>
    <row r="37" spans="1:17" ht="13.5" thickBot="1">
      <c r="A37" s="10"/>
      <c r="B37" s="15" t="s">
        <v>57</v>
      </c>
      <c r="C37" s="14"/>
      <c r="D37" s="14" t="e">
        <f>SUM(D28:D33)+D36</f>
        <v>#DIV/0!</v>
      </c>
      <c r="E37" s="20">
        <v>18</v>
      </c>
      <c r="F37" s="63">
        <v>337.5</v>
      </c>
      <c r="G37" s="13">
        <f t="shared" si="0"/>
        <v>2.272727272727273</v>
      </c>
      <c r="H37" s="62">
        <v>31</v>
      </c>
      <c r="I37" s="106"/>
      <c r="J37" s="106"/>
      <c r="K37" s="107"/>
      <c r="L37" s="53"/>
      <c r="M37" s="109">
        <v>0</v>
      </c>
      <c r="N37" s="109">
        <v>194</v>
      </c>
      <c r="O37" s="109">
        <v>115.5</v>
      </c>
      <c r="P37" s="53"/>
      <c r="Q37" s="53"/>
    </row>
    <row r="38" spans="1:17" ht="12.75">
      <c r="A38"/>
      <c r="B38"/>
      <c r="C38"/>
      <c r="D38"/>
      <c r="E38" s="20">
        <v>19</v>
      </c>
      <c r="F38" s="63">
        <v>344.7</v>
      </c>
      <c r="G38" s="13">
        <f t="shared" si="0"/>
        <v>2.272727272727273</v>
      </c>
      <c r="H38" s="62">
        <v>31</v>
      </c>
      <c r="I38" s="106"/>
      <c r="J38" s="106"/>
      <c r="K38" s="107"/>
      <c r="L38" s="53"/>
      <c r="M38" s="109">
        <v>9</v>
      </c>
      <c r="N38" s="109">
        <v>195</v>
      </c>
      <c r="O38" s="109">
        <v>114.5</v>
      </c>
      <c r="P38" s="53"/>
      <c r="Q38" s="53"/>
    </row>
    <row r="39" spans="1:17" ht="12.75">
      <c r="A39"/>
      <c r="B39" s="8" t="s">
        <v>58</v>
      </c>
      <c r="C39" s="8"/>
      <c r="D39" s="60"/>
      <c r="E39" s="20">
        <v>20</v>
      </c>
      <c r="F39" s="63">
        <v>350.2</v>
      </c>
      <c r="G39" s="13">
        <f t="shared" si="0"/>
        <v>0</v>
      </c>
      <c r="H39" s="62">
        <v>30</v>
      </c>
      <c r="I39" s="105"/>
      <c r="J39" s="105"/>
      <c r="K39" s="105"/>
      <c r="L39" s="53"/>
      <c r="M39" s="109">
        <v>20</v>
      </c>
      <c r="N39" s="109">
        <v>206</v>
      </c>
      <c r="O39" s="109">
        <v>114</v>
      </c>
      <c r="P39" s="53"/>
      <c r="Q39" s="53"/>
    </row>
    <row r="40" spans="1:17" ht="12.75">
      <c r="A40" s="8"/>
      <c r="B40" s="8" t="s">
        <v>59</v>
      </c>
      <c r="C40" s="8"/>
      <c r="D40" s="10">
        <f>SUM(FiltClean)</f>
        <v>0</v>
      </c>
      <c r="E40" s="20">
        <v>25</v>
      </c>
      <c r="F40" s="63">
        <v>373.7</v>
      </c>
      <c r="G40" s="13">
        <f t="shared" si="0"/>
        <v>0</v>
      </c>
      <c r="H40" s="62">
        <v>30</v>
      </c>
      <c r="I40" s="105"/>
      <c r="J40" s="105"/>
      <c r="K40" s="105"/>
      <c r="L40" s="53"/>
      <c r="M40" s="109">
        <v>30</v>
      </c>
      <c r="N40" s="109">
        <v>239</v>
      </c>
      <c r="O40" s="109">
        <v>113.5</v>
      </c>
      <c r="P40" s="53"/>
      <c r="Q40" s="53"/>
    </row>
    <row r="41" spans="2:17" ht="12.75">
      <c r="B41" s="8" t="s">
        <v>60</v>
      </c>
      <c r="C41" s="8"/>
      <c r="D41" s="60"/>
      <c r="E41" s="20">
        <v>30</v>
      </c>
      <c r="F41" s="63">
        <v>397</v>
      </c>
      <c r="G41" s="13">
        <f t="shared" si="0"/>
        <v>2.272727272727273</v>
      </c>
      <c r="H41" s="62">
        <v>31</v>
      </c>
      <c r="M41" s="13">
        <v>40</v>
      </c>
      <c r="N41" s="13">
        <v>287</v>
      </c>
      <c r="O41" s="13">
        <v>114</v>
      </c>
      <c r="P41" s="53"/>
      <c r="Q41" s="53"/>
    </row>
    <row r="42" spans="1:17" ht="12.75">
      <c r="A42"/>
      <c r="B42" s="8" t="s">
        <v>59</v>
      </c>
      <c r="C42" s="8"/>
      <c r="D42" s="10">
        <f>SUM(FiltDirty)</f>
        <v>0</v>
      </c>
      <c r="E42" s="20">
        <v>35</v>
      </c>
      <c r="F42" s="63">
        <v>417.6</v>
      </c>
      <c r="G42" s="13">
        <v>0</v>
      </c>
      <c r="H42" s="62">
        <v>29</v>
      </c>
      <c r="I42" s="105"/>
      <c r="J42" s="105"/>
      <c r="K42" s="105"/>
      <c r="L42" s="53"/>
      <c r="M42" s="109">
        <v>50</v>
      </c>
      <c r="N42" s="109">
        <v>349</v>
      </c>
      <c r="O42" s="109">
        <v>116.5</v>
      </c>
      <c r="P42" s="53"/>
      <c r="Q42" s="53"/>
    </row>
    <row r="43" spans="1:15" ht="12.75">
      <c r="A43"/>
      <c r="B43"/>
      <c r="C43"/>
      <c r="D43"/>
      <c r="E43" s="20">
        <v>40</v>
      </c>
      <c r="F43" s="63">
        <v>430</v>
      </c>
      <c r="G43" s="13">
        <f aca="true" t="shared" si="2" ref="G43:G49">500*(R_ohms-R_zero)/(R_Span-R_zero)</f>
        <v>6.818181818181818</v>
      </c>
      <c r="H43" s="62">
        <v>33</v>
      </c>
      <c r="I43" s="105" t="s">
        <v>91</v>
      </c>
      <c r="J43" s="105"/>
      <c r="K43" s="105"/>
      <c r="L43"/>
      <c r="M43" s="110">
        <v>60</v>
      </c>
      <c r="N43" s="110">
        <v>427</v>
      </c>
      <c r="O43" s="110">
        <v>117</v>
      </c>
    </row>
    <row r="44" spans="2:15" ht="12.75">
      <c r="B44"/>
      <c r="C44"/>
      <c r="D44"/>
      <c r="E44" s="20">
        <v>45</v>
      </c>
      <c r="F44" s="63">
        <v>442</v>
      </c>
      <c r="G44" s="13">
        <f t="shared" si="2"/>
        <v>6.818181818181818</v>
      </c>
      <c r="H44" s="62">
        <v>33</v>
      </c>
      <c r="J44" s="105"/>
      <c r="K44" s="105"/>
      <c r="L44"/>
      <c r="M44" s="94">
        <v>70</v>
      </c>
      <c r="N44" s="94">
        <v>500</v>
      </c>
      <c r="O44" s="94">
        <v>119</v>
      </c>
    </row>
    <row r="45" spans="2:15" ht="12.75">
      <c r="B45"/>
      <c r="C45"/>
      <c r="D45"/>
      <c r="E45" s="20">
        <v>50</v>
      </c>
      <c r="F45" s="63">
        <v>447</v>
      </c>
      <c r="G45" s="13">
        <f t="shared" si="2"/>
        <v>9.090909090909092</v>
      </c>
      <c r="H45" s="62">
        <v>34</v>
      </c>
      <c r="I45" s="105" t="s">
        <v>92</v>
      </c>
      <c r="J45" s="105"/>
      <c r="K45" s="105"/>
      <c r="L45"/>
      <c r="M45" s="110">
        <v>80</v>
      </c>
      <c r="N45" s="110">
        <v>518</v>
      </c>
      <c r="O45" s="110">
        <v>122.5</v>
      </c>
    </row>
    <row r="46" spans="2:15" ht="12.75">
      <c r="B46"/>
      <c r="C46" s="59"/>
      <c r="D46"/>
      <c r="E46" s="20">
        <v>55</v>
      </c>
      <c r="F46" s="63">
        <v>452.5</v>
      </c>
      <c r="G46" s="13">
        <f t="shared" si="2"/>
        <v>0</v>
      </c>
      <c r="H46" s="62">
        <v>30</v>
      </c>
      <c r="I46" s="105"/>
      <c r="J46" s="105"/>
      <c r="K46" s="105"/>
      <c r="L46"/>
      <c r="M46" s="110">
        <v>90</v>
      </c>
      <c r="N46" s="110">
        <v>550</v>
      </c>
      <c r="O46" s="110">
        <v>124.5</v>
      </c>
    </row>
    <row r="47" spans="5:15" ht="12.75">
      <c r="E47" s="20">
        <v>60</v>
      </c>
      <c r="F47" s="63">
        <v>460.5</v>
      </c>
      <c r="G47" s="13">
        <f t="shared" si="2"/>
        <v>0</v>
      </c>
      <c r="H47" s="62">
        <v>30</v>
      </c>
      <c r="I47" s="105"/>
      <c r="J47" s="105"/>
      <c r="K47" s="105"/>
      <c r="L47"/>
      <c r="M47" s="110">
        <v>100</v>
      </c>
      <c r="N47" s="110">
        <v>610</v>
      </c>
      <c r="O47" s="110">
        <v>132</v>
      </c>
    </row>
    <row r="48" spans="5:15" ht="12.75">
      <c r="E48" s="20">
        <v>65</v>
      </c>
      <c r="F48" s="63">
        <v>469</v>
      </c>
      <c r="G48" s="13">
        <f t="shared" si="2"/>
        <v>6.818181818181818</v>
      </c>
      <c r="H48" s="62">
        <v>33</v>
      </c>
      <c r="I48" s="105"/>
      <c r="J48" s="105"/>
      <c r="K48" s="105"/>
      <c r="M48" s="110">
        <v>110</v>
      </c>
      <c r="N48" s="110">
        <v>628</v>
      </c>
      <c r="O48" s="110">
        <v>137.5</v>
      </c>
    </row>
    <row r="49" spans="5:15" ht="12.75">
      <c r="E49" s="20">
        <v>70</v>
      </c>
      <c r="F49" s="63">
        <v>476</v>
      </c>
      <c r="G49" s="13">
        <f t="shared" si="2"/>
        <v>11.363636363636363</v>
      </c>
      <c r="H49" s="62">
        <v>35</v>
      </c>
      <c r="I49" s="105" t="s">
        <v>95</v>
      </c>
      <c r="J49" s="105"/>
      <c r="K49" s="105"/>
      <c r="M49" s="110">
        <v>120</v>
      </c>
      <c r="N49" s="110">
        <v>650</v>
      </c>
      <c r="O49" s="110">
        <v>140.5</v>
      </c>
    </row>
    <row r="50" spans="1:15" ht="12.75">
      <c r="A50" s="8"/>
      <c r="B50" s="8"/>
      <c r="C50" s="8"/>
      <c r="D50" s="8"/>
      <c r="E50" s="20">
        <v>75</v>
      </c>
      <c r="F50" s="63">
        <v>501</v>
      </c>
      <c r="G50" s="13">
        <v>0</v>
      </c>
      <c r="H50" s="62">
        <v>27</v>
      </c>
      <c r="I50" s="108" t="s">
        <v>93</v>
      </c>
      <c r="J50" s="108"/>
      <c r="K50" s="108"/>
      <c r="M50" s="110">
        <v>127</v>
      </c>
      <c r="N50" s="110">
        <v>664</v>
      </c>
      <c r="O50" s="110">
        <v>141</v>
      </c>
    </row>
    <row r="51" spans="1:15" ht="12.75">
      <c r="A51" s="8"/>
      <c r="B51" s="8"/>
      <c r="C51" s="8"/>
      <c r="D51" s="8"/>
      <c r="E51" s="20">
        <v>80</v>
      </c>
      <c r="F51" s="63">
        <v>514</v>
      </c>
      <c r="G51" s="13">
        <v>0</v>
      </c>
      <c r="H51" s="62">
        <v>27</v>
      </c>
      <c r="I51" s="108"/>
      <c r="J51" s="108"/>
      <c r="K51" s="108"/>
      <c r="M51" s="110"/>
      <c r="N51" s="110"/>
      <c r="O51" s="110"/>
    </row>
    <row r="52" spans="1:15" ht="12.75">
      <c r="A52" s="8"/>
      <c r="B52" s="8"/>
      <c r="C52" s="8"/>
      <c r="D52" s="8"/>
      <c r="E52" s="20">
        <v>85</v>
      </c>
      <c r="F52" s="63">
        <v>520.1</v>
      </c>
      <c r="G52" s="13">
        <v>0</v>
      </c>
      <c r="H52" s="62">
        <v>27</v>
      </c>
      <c r="I52" s="108"/>
      <c r="J52" s="108"/>
      <c r="K52" s="108"/>
      <c r="M52" s="110"/>
      <c r="N52" s="110"/>
      <c r="O52" s="110"/>
    </row>
    <row r="53" spans="1:15" ht="12.75">
      <c r="A53" s="8"/>
      <c r="B53" s="8"/>
      <c r="C53" s="8"/>
      <c r="D53" s="8"/>
      <c r="E53" s="20">
        <v>90</v>
      </c>
      <c r="F53" s="63">
        <v>521.7</v>
      </c>
      <c r="G53" s="13">
        <v>0</v>
      </c>
      <c r="H53" s="62">
        <v>27</v>
      </c>
      <c r="I53" s="94"/>
      <c r="J53" s="94"/>
      <c r="M53" s="110"/>
      <c r="N53" s="110"/>
      <c r="O53" s="110"/>
    </row>
    <row r="54" spans="1:15" ht="12.75">
      <c r="A54" s="8"/>
      <c r="B54" s="8"/>
      <c r="C54" s="8"/>
      <c r="D54" s="8"/>
      <c r="E54" s="20">
        <v>95</v>
      </c>
      <c r="F54" s="63">
        <v>521.7</v>
      </c>
      <c r="G54" s="13">
        <v>0</v>
      </c>
      <c r="H54" s="62">
        <v>28</v>
      </c>
      <c r="I54" s="108" t="s">
        <v>94</v>
      </c>
      <c r="J54" s="94"/>
      <c r="M54" s="110"/>
      <c r="N54" s="110"/>
      <c r="O54" s="110"/>
    </row>
    <row r="55" spans="1:15" ht="12.75">
      <c r="A55" s="8"/>
      <c r="B55" s="8"/>
      <c r="C55" s="8"/>
      <c r="D55" s="8"/>
      <c r="E55" s="20">
        <v>100</v>
      </c>
      <c r="F55" s="63">
        <v>505.3</v>
      </c>
      <c r="G55" s="13">
        <v>0</v>
      </c>
      <c r="H55" s="62">
        <v>29</v>
      </c>
      <c r="M55" s="110"/>
      <c r="N55" s="110"/>
      <c r="O55" s="110"/>
    </row>
    <row r="56" spans="5:15" ht="12.75">
      <c r="E56" s="20">
        <v>105</v>
      </c>
      <c r="F56" s="63">
        <v>495</v>
      </c>
      <c r="G56" s="13">
        <v>0</v>
      </c>
      <c r="H56" s="62">
        <v>29</v>
      </c>
      <c r="M56" s="110"/>
      <c r="N56" s="110"/>
      <c r="O56" s="110"/>
    </row>
    <row r="57" spans="5:15" ht="12.75">
      <c r="E57" s="20">
        <v>110</v>
      </c>
      <c r="F57" s="63">
        <v>475.9</v>
      </c>
      <c r="G57" s="13">
        <v>0</v>
      </c>
      <c r="H57" s="62">
        <v>29</v>
      </c>
      <c r="I57" s="2" t="s">
        <v>94</v>
      </c>
      <c r="M57" s="110"/>
      <c r="N57" s="110"/>
      <c r="O57" s="110"/>
    </row>
    <row r="58" spans="5:15" ht="12.75">
      <c r="E58" s="20">
        <v>115</v>
      </c>
      <c r="F58" s="63">
        <v>476.8</v>
      </c>
      <c r="G58" s="13">
        <v>0</v>
      </c>
      <c r="H58" s="62">
        <v>31</v>
      </c>
      <c r="M58" s="110"/>
      <c r="N58" s="110"/>
      <c r="O58" s="110"/>
    </row>
    <row r="59" spans="5:15" ht="12.75">
      <c r="E59" s="20">
        <v>120</v>
      </c>
      <c r="F59" s="63">
        <v>461.4</v>
      </c>
      <c r="G59" s="13">
        <f>500*(R_ohms-R_zero)/(R_Span-R_zero)</f>
        <v>4.545454545454546</v>
      </c>
      <c r="H59" s="62">
        <v>32</v>
      </c>
      <c r="M59" s="110"/>
      <c r="N59" s="110"/>
      <c r="O59" s="110"/>
    </row>
    <row r="60" spans="13:15" ht="12.75">
      <c r="M60" s="110"/>
      <c r="N60" s="110"/>
      <c r="O60" s="110"/>
    </row>
    <row r="61" spans="13:15" ht="12.75">
      <c r="M61" s="110"/>
      <c r="N61" s="110"/>
      <c r="O61" s="110"/>
    </row>
    <row r="62" spans="13:15" ht="12.75">
      <c r="M62" s="110"/>
      <c r="N62" s="110"/>
      <c r="O62" s="110"/>
    </row>
    <row r="63" spans="13:15" ht="12.75">
      <c r="M63" s="110"/>
      <c r="N63" s="110"/>
      <c r="O63" s="110"/>
    </row>
  </sheetData>
  <printOptions gridLines="1" horizontalCentered="1" verticalCentered="1"/>
  <pageMargins left="0.75" right="0.75" top="0.59" bottom="0.62" header="0.5" footer="0.5"/>
  <pageSetup orientation="portrait" scale="90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2006-02-22T02:39:43Z</dcterms:modified>
  <cp:category/>
  <cp:version/>
  <cp:contentType/>
  <cp:contentStatus/>
</cp:coreProperties>
</file>